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externalLinks/externalLink7.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xl/externalLinks/externalLink4.xml" ContentType="application/vnd.openxmlformats-officedocument.spreadsheetml.externalLink+xml"/>
  <Override PartName="/docProps/core.xml" ContentType="application/vnd.openxmlformats-package.core-properties+xml"/>
  <Override PartName="/xl/externalLinks/externalLink8.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CONTRATACION\ARN\2020\PLAN ANUAL DE CONTRATACION\PAA 2020\Versiones preliminares\"/>
    </mc:Choice>
  </mc:AlternateContent>
  <xr:revisionPtr revIDLastSave="0" documentId="8_{F4DF9061-E19A-4EAE-A71C-9EED7E6DC3E7}" xr6:coauthVersionLast="36" xr6:coauthVersionMax="36" xr10:uidLastSave="{00000000-0000-0000-0000-000000000000}"/>
  <bookViews>
    <workbookView xWindow="0" yWindow="0" windowWidth="19200" windowHeight="6930" xr2:uid="{B4BBCEA6-CE8B-41B1-AED9-2C6B6BFF8F82}"/>
  </bookViews>
  <sheets>
    <sheet name="Adquisiciones 2020"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'Adquisiciones 2020'!$A$5:$Z$36</definedName>
    <definedName name="_Hlk22194657" localSheetId="0">'Adquisiciones 2020'!#REF!</definedName>
    <definedName name="_Hlk22194857" localSheetId="0">'Adquisiciones 2020'!#REF!</definedName>
    <definedName name="_Hlk36632307" localSheetId="0">'Adquisiciones 2020'!#REF!</definedName>
    <definedName name="_xlnm.Print_Area" localSheetId="0">'Adquisiciones 2020'!$A$1:$Z$186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6" i="1" l="1"/>
  <c r="N175" i="1"/>
  <c r="M175" i="1" s="1"/>
  <c r="L175" i="1" s="1"/>
  <c r="M174" i="1"/>
  <c r="L174" i="1" s="1"/>
  <c r="M173" i="1"/>
  <c r="L173" i="1" s="1"/>
  <c r="M172" i="1"/>
  <c r="L172" i="1" s="1"/>
  <c r="M171" i="1"/>
  <c r="L171" i="1" s="1"/>
  <c r="N170" i="1"/>
  <c r="M170" i="1" s="1"/>
  <c r="L170" i="1" s="1"/>
  <c r="M169" i="1"/>
  <c r="L169" i="1" s="1"/>
  <c r="N168" i="1"/>
  <c r="M168" i="1" s="1"/>
  <c r="L168" i="1" s="1"/>
  <c r="O167" i="1"/>
  <c r="M167" i="1" s="1"/>
  <c r="L167" i="1" s="1"/>
  <c r="O166" i="1"/>
  <c r="N166" i="1"/>
  <c r="N165" i="1"/>
  <c r="M165" i="1" s="1"/>
  <c r="L165" i="1" s="1"/>
  <c r="N164" i="1"/>
  <c r="M164" i="1" s="1"/>
  <c r="L164" i="1" s="1"/>
  <c r="N163" i="1"/>
  <c r="M163" i="1" s="1"/>
  <c r="L163" i="1" s="1"/>
  <c r="M162" i="1"/>
  <c r="L162" i="1" s="1"/>
  <c r="N161" i="1"/>
  <c r="M161" i="1" s="1"/>
  <c r="L161" i="1" s="1"/>
  <c r="N160" i="1"/>
  <c r="M160" i="1" s="1"/>
  <c r="L160" i="1" s="1"/>
  <c r="M159" i="1"/>
  <c r="L159" i="1" s="1"/>
  <c r="N158" i="1"/>
  <c r="M158" i="1" s="1"/>
  <c r="L158" i="1" s="1"/>
  <c r="M157" i="1"/>
  <c r="L157" i="1" s="1"/>
  <c r="N156" i="1"/>
  <c r="M156" i="1" s="1"/>
  <c r="L156" i="1" s="1"/>
  <c r="N155" i="1"/>
  <c r="M155" i="1" s="1"/>
  <c r="L155" i="1" s="1"/>
  <c r="M154" i="1"/>
  <c r="L154" i="1" s="1"/>
  <c r="M153" i="1"/>
  <c r="L153" i="1" s="1"/>
  <c r="N152" i="1"/>
  <c r="P151" i="1"/>
  <c r="O151" i="1"/>
  <c r="N151" i="1"/>
  <c r="M150" i="1"/>
  <c r="L150" i="1" s="1"/>
  <c r="M149" i="1"/>
  <c r="L149" i="1" s="1"/>
  <c r="M148" i="1"/>
  <c r="L148" i="1" s="1"/>
  <c r="M147" i="1"/>
  <c r="L147" i="1" s="1"/>
  <c r="M146" i="1"/>
  <c r="L146" i="1" s="1"/>
  <c r="M145" i="1"/>
  <c r="L145" i="1" s="1"/>
  <c r="M144" i="1"/>
  <c r="L144" i="1" s="1"/>
  <c r="M143" i="1"/>
  <c r="L143" i="1" s="1"/>
  <c r="M142" i="1"/>
  <c r="L142" i="1" s="1"/>
  <c r="M141" i="1"/>
  <c r="L141" i="1" s="1"/>
  <c r="M140" i="1"/>
  <c r="L140" i="1" s="1"/>
  <c r="M139" i="1"/>
  <c r="L139" i="1" s="1"/>
  <c r="M138" i="1"/>
  <c r="L138" i="1" s="1"/>
  <c r="M137" i="1"/>
  <c r="L137" i="1" s="1"/>
  <c r="M136" i="1"/>
  <c r="L136" i="1" s="1"/>
  <c r="M135" i="1"/>
  <c r="L135" i="1" s="1"/>
  <c r="M134" i="1"/>
  <c r="L134" i="1" s="1"/>
  <c r="M133" i="1"/>
  <c r="L133" i="1" s="1"/>
  <c r="M132" i="1"/>
  <c r="L132" i="1" s="1"/>
  <c r="M131" i="1"/>
  <c r="L131" i="1" s="1"/>
  <c r="M130" i="1"/>
  <c r="L130" i="1" s="1"/>
  <c r="M129" i="1"/>
  <c r="L129" i="1" s="1"/>
  <c r="M128" i="1"/>
  <c r="L128" i="1" s="1"/>
  <c r="M127" i="1"/>
  <c r="L127" i="1" s="1"/>
  <c r="M126" i="1"/>
  <c r="L126" i="1" s="1"/>
  <c r="M125" i="1"/>
  <c r="L125" i="1" s="1"/>
  <c r="M124" i="1"/>
  <c r="L124" i="1" s="1"/>
  <c r="M123" i="1"/>
  <c r="L123" i="1" s="1"/>
  <c r="M122" i="1"/>
  <c r="L122" i="1" s="1"/>
  <c r="O121" i="1"/>
  <c r="M121" i="1" s="1"/>
  <c r="L121" i="1" s="1"/>
  <c r="M120" i="1"/>
  <c r="L120" i="1" s="1"/>
  <c r="M119" i="1"/>
  <c r="L119" i="1" s="1"/>
  <c r="M118" i="1"/>
  <c r="L118" i="1" s="1"/>
  <c r="M117" i="1"/>
  <c r="L117" i="1" s="1"/>
  <c r="M116" i="1"/>
  <c r="L116" i="1" s="1"/>
  <c r="M115" i="1"/>
  <c r="L115" i="1" s="1"/>
  <c r="M114" i="1"/>
  <c r="L114" i="1" s="1"/>
  <c r="P113" i="1"/>
  <c r="N113" i="1"/>
  <c r="M113" i="1" s="1"/>
  <c r="M112" i="1"/>
  <c r="L112" i="1" s="1"/>
  <c r="M111" i="1"/>
  <c r="L111" i="1" s="1"/>
  <c r="N110" i="1"/>
  <c r="M110" i="1" s="1"/>
  <c r="L110" i="1" s="1"/>
  <c r="N109" i="1"/>
  <c r="M109" i="1" s="1"/>
  <c r="L109" i="1" s="1"/>
  <c r="M108" i="1"/>
  <c r="L108" i="1" s="1"/>
  <c r="N107" i="1"/>
  <c r="M107" i="1" s="1"/>
  <c r="L107" i="1" s="1"/>
  <c r="N106" i="1"/>
  <c r="M106" i="1" s="1"/>
  <c r="L106" i="1" s="1"/>
  <c r="Q105" i="1"/>
  <c r="P105" i="1"/>
  <c r="M105" i="1"/>
  <c r="N104" i="1"/>
  <c r="M104" i="1" s="1"/>
  <c r="L104" i="1" s="1"/>
  <c r="Q103" i="1"/>
  <c r="P103" i="1"/>
  <c r="N103" i="1"/>
  <c r="M103" i="1" s="1"/>
  <c r="N102" i="1"/>
  <c r="M102" i="1" s="1"/>
  <c r="L102" i="1" s="1"/>
  <c r="M101" i="1"/>
  <c r="L101" i="1" s="1"/>
  <c r="N100" i="1"/>
  <c r="M100" i="1" s="1"/>
  <c r="L100" i="1" s="1"/>
  <c r="N99" i="1"/>
  <c r="M99" i="1" s="1"/>
  <c r="L99" i="1" s="1"/>
  <c r="M98" i="1"/>
  <c r="L98" i="1" s="1"/>
  <c r="N97" i="1"/>
  <c r="M97" i="1" s="1"/>
  <c r="L97" i="1" s="1"/>
  <c r="N96" i="1"/>
  <c r="M96" i="1" s="1"/>
  <c r="L96" i="1" s="1"/>
  <c r="N95" i="1"/>
  <c r="M95" i="1" s="1"/>
  <c r="L95" i="1" s="1"/>
  <c r="M94" i="1"/>
  <c r="L94" i="1" s="1"/>
  <c r="O93" i="1"/>
  <c r="N93" i="1"/>
  <c r="O92" i="1"/>
  <c r="N92" i="1"/>
  <c r="M91" i="1"/>
  <c r="L91" i="1" s="1"/>
  <c r="O90" i="1"/>
  <c r="N90" i="1"/>
  <c r="M89" i="1"/>
  <c r="L89" i="1" s="1"/>
  <c r="M88" i="1"/>
  <c r="L88" i="1" s="1"/>
  <c r="M87" i="1"/>
  <c r="L87" i="1" s="1"/>
  <c r="M86" i="1"/>
  <c r="L86" i="1" s="1"/>
  <c r="M85" i="1"/>
  <c r="L85" i="1" s="1"/>
  <c r="M84" i="1"/>
  <c r="L84" i="1" s="1"/>
  <c r="P83" i="1"/>
  <c r="N83" i="1"/>
  <c r="M83" i="1" s="1"/>
  <c r="N82" i="1"/>
  <c r="M82" i="1" s="1"/>
  <c r="L82" i="1" s="1"/>
  <c r="M81" i="1"/>
  <c r="L81" i="1" s="1"/>
  <c r="M80" i="1"/>
  <c r="L80" i="1" s="1"/>
  <c r="M79" i="1"/>
  <c r="L79" i="1" s="1"/>
  <c r="N78" i="1"/>
  <c r="M78" i="1" s="1"/>
  <c r="L78" i="1" s="1"/>
  <c r="M77" i="1"/>
  <c r="L77" i="1" s="1"/>
  <c r="N76" i="1"/>
  <c r="M76" i="1" s="1"/>
  <c r="L76" i="1" s="1"/>
  <c r="N75" i="1"/>
  <c r="M75" i="1" s="1"/>
  <c r="L75" i="1" s="1"/>
  <c r="N74" i="1"/>
  <c r="M74" i="1" s="1"/>
  <c r="L74" i="1" s="1"/>
  <c r="M73" i="1"/>
  <c r="L73" i="1" s="1"/>
  <c r="N72" i="1"/>
  <c r="M72" i="1" s="1"/>
  <c r="L72" i="1" s="1"/>
  <c r="O71" i="1"/>
  <c r="N71" i="1"/>
  <c r="M70" i="1"/>
  <c r="L70" i="1" s="1"/>
  <c r="N69" i="1"/>
  <c r="M69" i="1" s="1"/>
  <c r="L69" i="1" s="1"/>
  <c r="M68" i="1"/>
  <c r="L68" i="1" s="1"/>
  <c r="M67" i="1"/>
  <c r="L67" i="1" s="1"/>
  <c r="M66" i="1"/>
  <c r="L66" i="1" s="1"/>
  <c r="M65" i="1"/>
  <c r="L65" i="1" s="1"/>
  <c r="N64" i="1"/>
  <c r="M64" i="1" s="1"/>
  <c r="L64" i="1" s="1"/>
  <c r="N63" i="1"/>
  <c r="M63" i="1" s="1"/>
  <c r="L63" i="1" s="1"/>
  <c r="N62" i="1"/>
  <c r="M62" i="1" s="1"/>
  <c r="L62" i="1" s="1"/>
  <c r="N61" i="1"/>
  <c r="M61" i="1" s="1"/>
  <c r="L61" i="1" s="1"/>
  <c r="N60" i="1"/>
  <c r="M60" i="1" s="1"/>
  <c r="L60" i="1" s="1"/>
  <c r="M59" i="1"/>
  <c r="L59" i="1" s="1"/>
  <c r="N58" i="1"/>
  <c r="M58" i="1" s="1"/>
  <c r="L58" i="1" s="1"/>
  <c r="P57" i="1"/>
  <c r="O57" i="1"/>
  <c r="N57" i="1"/>
  <c r="M56" i="1"/>
  <c r="L56" i="1" s="1"/>
  <c r="O55" i="1"/>
  <c r="N55" i="1"/>
  <c r="M54" i="1"/>
  <c r="L54" i="1" s="1"/>
  <c r="M53" i="1"/>
  <c r="L53" i="1" s="1"/>
  <c r="O52" i="1"/>
  <c r="M52" i="1" s="1"/>
  <c r="L52" i="1" s="1"/>
  <c r="M51" i="1"/>
  <c r="L51" i="1" s="1"/>
  <c r="O50" i="1"/>
  <c r="N50" i="1"/>
  <c r="O49" i="1"/>
  <c r="N49" i="1"/>
  <c r="M48" i="1"/>
  <c r="L48" i="1" s="1"/>
  <c r="M47" i="1"/>
  <c r="L47" i="1" s="1"/>
  <c r="O46" i="1"/>
  <c r="N46" i="1"/>
  <c r="O45" i="1"/>
  <c r="N45" i="1"/>
  <c r="M44" i="1"/>
  <c r="L44" i="1" s="1"/>
  <c r="M43" i="1"/>
  <c r="L43" i="1" s="1"/>
  <c r="M42" i="1"/>
  <c r="L42" i="1" s="1"/>
  <c r="M41" i="1"/>
  <c r="L41" i="1" s="1"/>
  <c r="O40" i="1"/>
  <c r="N40" i="1"/>
  <c r="O39" i="1"/>
  <c r="N39" i="1"/>
  <c r="O38" i="1"/>
  <c r="N38" i="1"/>
  <c r="O37" i="1"/>
  <c r="N37" i="1"/>
  <c r="O36" i="1"/>
  <c r="N36" i="1"/>
  <c r="Q35" i="1"/>
  <c r="P35" i="1"/>
  <c r="M35" i="1"/>
  <c r="N34" i="1"/>
  <c r="M34" i="1" s="1"/>
  <c r="L34" i="1" s="1"/>
  <c r="O33" i="1"/>
  <c r="N33" i="1"/>
  <c r="O32" i="1"/>
  <c r="N32" i="1"/>
  <c r="O31" i="1"/>
  <c r="N31" i="1"/>
  <c r="M30" i="1"/>
  <c r="L30" i="1" s="1"/>
  <c r="M29" i="1"/>
  <c r="L29" i="1" s="1"/>
  <c r="M28" i="1"/>
  <c r="L28" i="1" s="1"/>
  <c r="O27" i="1"/>
  <c r="N27" i="1"/>
  <c r="O26" i="1"/>
  <c r="N26" i="1"/>
  <c r="O25" i="1"/>
  <c r="N25" i="1"/>
  <c r="M24" i="1"/>
  <c r="L24" i="1" s="1"/>
  <c r="O23" i="1"/>
  <c r="M23" i="1" s="1"/>
  <c r="L23" i="1" s="1"/>
  <c r="M22" i="1"/>
  <c r="L22" i="1" s="1"/>
  <c r="M21" i="1"/>
  <c r="L21" i="1" s="1"/>
  <c r="N20" i="1"/>
  <c r="M20" i="1" s="1"/>
  <c r="L20" i="1" s="1"/>
  <c r="N19" i="1"/>
  <c r="N179" i="1" s="1"/>
  <c r="O18" i="1"/>
  <c r="N18" i="1"/>
  <c r="M17" i="1"/>
  <c r="L17" i="1" s="1"/>
  <c r="N16" i="1"/>
  <c r="M16" i="1" s="1"/>
  <c r="L16" i="1" s="1"/>
  <c r="O15" i="1"/>
  <c r="M15" i="1" s="1"/>
  <c r="L15" i="1" s="1"/>
  <c r="M14" i="1"/>
  <c r="L14" i="1" s="1"/>
  <c r="M13" i="1"/>
  <c r="L13" i="1" s="1"/>
  <c r="M12" i="1"/>
  <c r="L12" i="1" s="1"/>
  <c r="O11" i="1"/>
  <c r="M11" i="1" s="1"/>
  <c r="L11" i="1" s="1"/>
  <c r="M10" i="1"/>
  <c r="L10" i="1" s="1"/>
  <c r="M9" i="1"/>
  <c r="L9" i="1" s="1"/>
  <c r="N8" i="1"/>
  <c r="M7" i="1"/>
  <c r="L7" i="1" s="1"/>
  <c r="O6" i="1"/>
  <c r="M6" i="1" s="1"/>
  <c r="L6" i="1" s="1"/>
  <c r="M151" i="1" l="1"/>
  <c r="L151" i="1" s="1"/>
  <c r="L113" i="1"/>
  <c r="M55" i="1"/>
  <c r="L55" i="1" s="1"/>
  <c r="M45" i="1"/>
  <c r="L45" i="1" s="1"/>
  <c r="M33" i="1"/>
  <c r="L33" i="1" s="1"/>
  <c r="M46" i="1"/>
  <c r="L46" i="1" s="1"/>
  <c r="M25" i="1"/>
  <c r="L25" i="1" s="1"/>
  <c r="M31" i="1"/>
  <c r="L31" i="1" s="1"/>
  <c r="L103" i="1"/>
  <c r="M57" i="1"/>
  <c r="L57" i="1" s="1"/>
  <c r="M32" i="1"/>
  <c r="L32" i="1" s="1"/>
  <c r="M27" i="1"/>
  <c r="L27" i="1" s="1"/>
  <c r="M49" i="1"/>
  <c r="L49" i="1" s="1"/>
  <c r="M40" i="1"/>
  <c r="L40" i="1" s="1"/>
  <c r="M152" i="1"/>
  <c r="L152" i="1" s="1"/>
  <c r="M92" i="1"/>
  <c r="L92" i="1" s="1"/>
  <c r="L35" i="1"/>
  <c r="M93" i="1"/>
  <c r="L93" i="1" s="1"/>
  <c r="M26" i="1"/>
  <c r="L26" i="1" s="1"/>
  <c r="M18" i="1"/>
  <c r="L18" i="1" s="1"/>
  <c r="M71" i="1"/>
  <c r="L71" i="1" s="1"/>
  <c r="M90" i="1"/>
  <c r="L90" i="1" s="1"/>
  <c r="M166" i="1"/>
  <c r="L166" i="1" s="1"/>
  <c r="N176" i="1"/>
  <c r="M50" i="1"/>
  <c r="L50" i="1" s="1"/>
  <c r="M36" i="1"/>
  <c r="L36" i="1" s="1"/>
  <c r="L83" i="1"/>
  <c r="L105" i="1"/>
  <c r="M19" i="1"/>
  <c r="L19" i="1" s="1"/>
  <c r="P176" i="1"/>
  <c r="M38" i="1"/>
  <c r="L38" i="1" s="1"/>
  <c r="M37" i="1"/>
  <c r="L37" i="1" s="1"/>
  <c r="O176" i="1"/>
  <c r="M8" i="1"/>
  <c r="L8" i="1" s="1"/>
  <c r="M39" i="1"/>
  <c r="L39" i="1" s="1"/>
  <c r="M17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Lucy Gonzalez Rodriguez</author>
    <author>Luisa Fernanda Castro Támara</author>
    <author>Sergio Daniel Perez Pintor</author>
  </authors>
  <commentList>
    <comment ref="N19" authorId="0" shapeId="0" xr:uid="{34F62045-19EE-4FE8-945F-EF552506D3BE}">
      <text>
        <r>
          <rPr>
            <b/>
            <sz val="9"/>
            <color indexed="81"/>
            <rFont val="Tahoma"/>
            <family val="2"/>
          </rPr>
          <t>Lucy Gonzalez Rodriguez:</t>
        </r>
        <r>
          <rPr>
            <sz val="9"/>
            <color indexed="81"/>
            <rFont val="Tahoma"/>
            <family val="2"/>
          </rPr>
          <t xml:space="preserve">
Recursos de Inversión</t>
        </r>
      </text>
    </comment>
    <comment ref="O19" authorId="0" shapeId="0" xr:uid="{C154A2E3-D434-4977-AF3A-B5C5F8331075}">
      <text>
        <r>
          <rPr>
            <b/>
            <sz val="9"/>
            <color indexed="81"/>
            <rFont val="Tahoma"/>
            <family val="2"/>
          </rPr>
          <t>Lucy Gonzalez Rodriguez:</t>
        </r>
        <r>
          <rPr>
            <sz val="9"/>
            <color indexed="81"/>
            <rFont val="Tahoma"/>
            <family val="2"/>
          </rPr>
          <t xml:space="preserve">
Recursos de Inversión</t>
        </r>
      </text>
    </comment>
    <comment ref="P28" authorId="1" shapeId="0" xr:uid="{F624C79D-FF0C-4F29-92F7-A458D435151B}">
      <text>
        <r>
          <rPr>
            <b/>
            <sz val="9"/>
            <color indexed="81"/>
            <rFont val="Tahoma"/>
            <family val="2"/>
          </rPr>
          <t>Luisa Fernanda Castro Támara:</t>
        </r>
        <r>
          <rPr>
            <sz val="9"/>
            <color indexed="81"/>
            <rFont val="Tahoma"/>
            <family val="2"/>
          </rPr>
          <t xml:space="preserve">
incremento del 7% teniendo en cuenta los antecedentes y las tarifas regidas por la superintendencia de vigilancia y seguridad privada</t>
        </r>
      </text>
    </comment>
    <comment ref="N50" authorId="2" shapeId="0" xr:uid="{AE0EE187-A5A7-4EF5-89B8-F31397E6C76E}">
      <text>
        <r>
          <rPr>
            <b/>
            <sz val="9"/>
            <color indexed="81"/>
            <rFont val="Tahoma"/>
            <family val="2"/>
          </rPr>
          <t>Sergio Daniel Perez Pintor:</t>
        </r>
        <r>
          <rPr>
            <sz val="9"/>
            <color indexed="81"/>
            <rFont val="Tahoma"/>
            <family val="2"/>
          </rPr>
          <t xml:space="preserve">
Valor mensual por 12 meses</t>
        </r>
      </text>
    </comment>
    <comment ref="S57" authorId="2" shapeId="0" xr:uid="{A7D4EF3D-A346-453A-9B41-8BCA0EB6B038}">
      <text>
        <r>
          <rPr>
            <b/>
            <sz val="9"/>
            <color indexed="81"/>
            <rFont val="Tahoma"/>
            <family val="2"/>
          </rPr>
          <t>Sergio Daniel Perez Pintor:</t>
        </r>
        <r>
          <rPr>
            <sz val="9"/>
            <color indexed="81"/>
            <rFont val="Tahoma"/>
            <family val="2"/>
          </rPr>
          <t xml:space="preserve">
Vig 2020 por $5,102,501,873
Vig 2021 por
$5,262,916,643
Vig 2022 por
$3,329,415,090</t>
        </r>
      </text>
    </comment>
  </commentList>
</comments>
</file>

<file path=xl/sharedStrings.xml><?xml version="1.0" encoding="utf-8"?>
<sst xmlns="http://schemas.openxmlformats.org/spreadsheetml/2006/main" count="2686" uniqueCount="484">
  <si>
    <t>Tabla de Consolidación de necesidades por Dependencia - Plan Anual de Adquisiciones 2020</t>
  </si>
  <si>
    <t>Dependencia Responsable (Selección la que corresponde)</t>
  </si>
  <si>
    <t>Código UNSPSC (cada código separado por ;)</t>
  </si>
  <si>
    <t>Descripción (bien o servicio requerido a contratar)</t>
  </si>
  <si>
    <t xml:space="preserve">Fecha Terminación en 2020 de los 
Contratos Vf del 2018, 2019 </t>
  </si>
  <si>
    <t>Fecha estimada de radicación en el GGC para iniciar Estudio de Mercado</t>
  </si>
  <si>
    <t>Fecha (mes)  estimada de presentación de ofertas (Cierre del proceso)</t>
  </si>
  <si>
    <t>Duración estimada del contrato (número de Meses o días)</t>
  </si>
  <si>
    <t>Duración estimada del contrato (intervalo: días, Meses, años)</t>
  </si>
  <si>
    <t>Modalidad de selección (seleccione)</t>
  </si>
  <si>
    <t>Descripción de la Actividad (según clasificación del presupuesto)</t>
  </si>
  <si>
    <t>Rubro presupuesto</t>
  </si>
  <si>
    <t>Valor estimado Asignado a Contratar 
(Incluya el valor total de la Contratación si tiene Vigencia Futura. De lo contrario, este valor debe ser igual al de la siguiente columna)</t>
  </si>
  <si>
    <t>Valor estimado en la vigencia actual</t>
  </si>
  <si>
    <t>Fuente de los recursos (reintegración de la vigencia actual)</t>
  </si>
  <si>
    <t>Fuente de los recursos (reincorporación de la vigencia actual)</t>
  </si>
  <si>
    <t>Valor 2021</t>
  </si>
  <si>
    <t>Valor 2022</t>
  </si>
  <si>
    <t>¿Se requieren vigencias futuras?</t>
  </si>
  <si>
    <t>Estado de solicitud de vigencias futuras</t>
  </si>
  <si>
    <t>Estado</t>
  </si>
  <si>
    <t>Nombre del Responsable en la Dependencia</t>
  </si>
  <si>
    <t>Unidad de contratación (Grupo de Gestión Contractual)</t>
  </si>
  <si>
    <t>Ubicación</t>
  </si>
  <si>
    <t xml:space="preserve">Nombre del responsable </t>
  </si>
  <si>
    <t xml:space="preserve">Teléfono del responsable </t>
  </si>
  <si>
    <t xml:space="preserve">Correo electrónico del responsable </t>
  </si>
  <si>
    <t>Dias</t>
  </si>
  <si>
    <t>DPR - Subdirección Territorial - Equipo de Comunidades</t>
  </si>
  <si>
    <t xml:space="preserve">93141500
93141600
93141700 </t>
  </si>
  <si>
    <t>Junio</t>
  </si>
  <si>
    <t>Meses</t>
  </si>
  <si>
    <t>Contratación Directa</t>
  </si>
  <si>
    <t>Acciones comunitarias para el fortalecimiento del liderazgo y la participación de las mujeres</t>
  </si>
  <si>
    <t>A-03-03-01-001</t>
  </si>
  <si>
    <t>No</t>
  </si>
  <si>
    <t>No aplica</t>
  </si>
  <si>
    <t>Maria del Pilar Ruiz</t>
  </si>
  <si>
    <t>Grupo de Gestión Contractual</t>
  </si>
  <si>
    <t>Bogotá</t>
  </si>
  <si>
    <t>Javier Mauricio Mosquera Lasso</t>
  </si>
  <si>
    <t>4430020 
Ext 10600</t>
  </si>
  <si>
    <t>javiermosquera@reincorporacion.gov.co</t>
  </si>
  <si>
    <t>Recursos por asignar</t>
  </si>
  <si>
    <t>93141500
93141600
93141700 
93142000</t>
  </si>
  <si>
    <r>
      <t xml:space="preserve">Implementar la estrategia "Mambrú, Fortalecimiento de Entornos Protectores de niños, niñas, adolescentes y jóvenes NNAJ" de conformidad con lo establecido en el Anexo No 1 especificaciones técnicas mínimas. </t>
    </r>
    <r>
      <rPr>
        <b/>
        <sz val="11"/>
        <color theme="1"/>
        <rFont val="Arial"/>
        <family val="2"/>
      </rPr>
      <t>Vigencia 2020  Contrato 1390 de 2019</t>
    </r>
  </si>
  <si>
    <t>Vigencia 2020</t>
  </si>
  <si>
    <t>Fortalecimiento de entornos protectores de NNAJ para la prevención del reclutamiento</t>
  </si>
  <si>
    <t>Contrato en Ejecución</t>
  </si>
  <si>
    <r>
      <rPr>
        <b/>
        <sz val="11"/>
        <color theme="1"/>
        <rFont val="Arial"/>
        <family val="2"/>
      </rPr>
      <t>(Adición y prórroga)</t>
    </r>
    <r>
      <rPr>
        <sz val="11"/>
        <color theme="1"/>
        <rFont val="Arial"/>
        <family val="2"/>
      </rPr>
      <t xml:space="preserve"> Implementar la estrategia "Mambrú, Fortalecimiento de Entornos Protectores de niños, niñas, adolescentes y jóvenes NNAJ" de conformidad con lo establecido en el Anexo No 1 especificaciones técnicas mínimas.  Contrato 1390 de 2019 suspendido formalmente
</t>
    </r>
  </si>
  <si>
    <t>Mayo</t>
  </si>
  <si>
    <t>Adición y Prórroga</t>
  </si>
  <si>
    <t>Implementar  acciones para el fortalecimiento comunitario que promuevan la convivencia y la reconciliación en los territorios - Vigencia Futura del 2020 Contrato 1330 de 2019</t>
  </si>
  <si>
    <t>Acciones para el fortalecimiento comunitario</t>
  </si>
  <si>
    <t>93141500
93141600
93141700</t>
  </si>
  <si>
    <t>Desarrollar procesos comunitarios orientados a la reconciliación y las garantías de no repetición en articulación con planes, programas y proyectos derivados del Acuerdo Final - Vigencia Futura del 2020 Contrato N° 1481 de 2019</t>
  </si>
  <si>
    <t>Procesos comunitarios para la reconciliación</t>
  </si>
  <si>
    <t>No Aplica</t>
  </si>
  <si>
    <t>4430020 
Ext 10602</t>
  </si>
  <si>
    <t xml:space="preserve">Implementar procesos comunitarios que contribuyan al fortalecimiento de capacidades en las comunidades y la promoción de la reconciliación en cumplimiento de las acciones del eje comunitario de la Política Nacional de reincorporación social y económica de exintegrantes FARC-EP. </t>
  </si>
  <si>
    <t xml:space="preserve">Acciones para el fortalecimiento de las capacidades en las comunidades y promoción de la reconciliación </t>
  </si>
  <si>
    <t>DPR - Subdirección Territorial - Grupo de Diseño</t>
  </si>
  <si>
    <t>Francine Botero Garnica</t>
  </si>
  <si>
    <t>Contratar procesos de formación y fortalecimiento del capital social para el impulso y participación activa en el proceso de reincorporación, dirigidos a líderes exintegrantes FARC-EP residentes en el territorio nacional</t>
  </si>
  <si>
    <t>Selección Abreviada - Menor Cuantía</t>
  </si>
  <si>
    <r>
      <rPr>
        <b/>
        <sz val="11"/>
        <color theme="1"/>
        <rFont val="Arial"/>
        <family val="2"/>
      </rPr>
      <t>Costos Programa de Reincorporación Económica y social (Misional)</t>
    </r>
    <r>
      <rPr>
        <sz val="11"/>
        <color theme="1"/>
        <rFont val="Arial"/>
        <family val="2"/>
      </rPr>
      <t xml:space="preserve">
Estrategia para fortalecimiento de liderazgos en Reincorporación</t>
    </r>
  </si>
  <si>
    <t>En Tramite</t>
  </si>
  <si>
    <t>DPR - Subdirección de Gestión Legal</t>
  </si>
  <si>
    <r>
      <rPr>
        <b/>
        <sz val="11"/>
        <color theme="1"/>
        <rFont val="Arial"/>
        <family val="2"/>
      </rPr>
      <t>Prorroga</t>
    </r>
    <r>
      <rPr>
        <sz val="11"/>
        <color theme="1"/>
        <rFont val="Arial"/>
        <family val="2"/>
      </rPr>
      <t xml:space="preserve"> Amparar la contratación del Seguro de Vida para personas acreditadas como desmovilizados por las autoridades competentes</t>
    </r>
  </si>
  <si>
    <t>Prórroga</t>
  </si>
  <si>
    <r>
      <t xml:space="preserve">Seguro de Vida para personas acreditadas como desmovilizados por las autoridades competentes
</t>
    </r>
    <r>
      <rPr>
        <b/>
        <sz val="11"/>
        <color theme="1"/>
        <rFont val="Arial"/>
        <family val="2"/>
      </rPr>
      <t>Costos Programa de Reincorporación Económica y social (Misional)</t>
    </r>
    <r>
      <rPr>
        <sz val="11"/>
        <color theme="1"/>
        <rFont val="Arial"/>
        <family val="2"/>
      </rPr>
      <t xml:space="preserve">
Seguro de Vida para personas acreditadas como desmovilizados por las autoridades competentes</t>
    </r>
  </si>
  <si>
    <t>Diego Flórez Corso</t>
  </si>
  <si>
    <t>DPR - Subdirección Territorial - Equipo de Generación de Ingresos</t>
  </si>
  <si>
    <t>86101700
80111500</t>
  </si>
  <si>
    <t>Aunar recursos técnicos, humanos y financieros entre la ARN y OIM para la implementación de mecanismos de fortalecimiento y formación para el sostenimiento económico de la población objeto de atención de la ARN.</t>
  </si>
  <si>
    <t>Abril</t>
  </si>
  <si>
    <t>6</t>
  </si>
  <si>
    <r>
      <t xml:space="preserve">Promocion de mecanismos de fortalecimiento de capacidades para la reintegracion economica         </t>
    </r>
    <r>
      <rPr>
        <b/>
        <sz val="11"/>
        <color theme="1"/>
        <rFont val="Arial"/>
        <family val="2"/>
      </rPr>
      <t>Costos Programa de Reincorporación Económica y social (Misional)</t>
    </r>
    <r>
      <rPr>
        <sz val="11"/>
        <color theme="1"/>
        <rFont val="Arial"/>
        <family val="2"/>
      </rPr>
      <t xml:space="preserve">                Servicios de educación informal: Entornos productivos</t>
    </r>
  </si>
  <si>
    <t>Sheila Sanín Pombo</t>
  </si>
  <si>
    <t>80111500
86110000
86101800
86101700
86121800</t>
  </si>
  <si>
    <t>Prestar la asistencia/acompañamiento técnico a los proyectos productivos de reincorporación económica desembolsados y en implementación y brindar el fortalecimiento a las Formas Asociativas a través de la implementación de los componentes del plan de fortalecimiento organizacional, de conformidad con los lineamientos y criterios establecidos por la ARN”</t>
  </si>
  <si>
    <t>Marzo</t>
  </si>
  <si>
    <t xml:space="preserve">Costos Programa de Reincorporación Económica y social (Misional)
Asistencia técnica de los proyectos productivos
Costos Programa de Reincorporación Económica y social (Misional)
Fortalecimiento de procesos organizativos y proyectos productivos en el marco de la Asociatividad y Economía Solidaria a exintegrantes FARC-EP 
</t>
  </si>
  <si>
    <t>A-03-03-01-003</t>
  </si>
  <si>
    <t>4430020 
Ext 10606</t>
  </si>
  <si>
    <t>DPR - Subdirección Territorial - Equipo de Seguridad</t>
  </si>
  <si>
    <t>92101503
80101510</t>
  </si>
  <si>
    <t>Aunar esfuerzos entre la ARN y la Unidad Nacional de Protección (UNP) para agilizar los tiempos de respuestas frente a las evaluaciones de riesgo de los beneficiarios y colaboradores de la Agencia. Contrato N° 1040 de 2020</t>
  </si>
  <si>
    <t>Febrero</t>
  </si>
  <si>
    <t>Convenio Unidad Nacional de Protección</t>
  </si>
  <si>
    <t xml:space="preserve">Contrato </t>
  </si>
  <si>
    <t>William Fonseca Flórez</t>
  </si>
  <si>
    <t>DPR - Subdirección Territorial - Grupo de Articulación Territorial</t>
  </si>
  <si>
    <t>Ana María Villamil</t>
  </si>
  <si>
    <t>DPR - Subdirección Territorial - Equipo de Enfoque Diferencial</t>
  </si>
  <si>
    <t>85101600
85101700
93141500
90111600
78111800
78111500
80111500</t>
  </si>
  <si>
    <t>Aunar esfuerzos para realizar el proceso de certificación de discapacidad de las personas objeto de atención de la ARN que se auto reconocen con alguna condición de discapacidad.</t>
  </si>
  <si>
    <t xml:space="preserve">Costos Programa de Reincorporación Económica y social (Misional)
Apoyo a los procesos de certificación de discapacidad de la población objeto de atención de la ARN            </t>
  </si>
  <si>
    <t>A-03-03-01-002</t>
  </si>
  <si>
    <t>Adriana López Mesa</t>
  </si>
  <si>
    <t>0</t>
  </si>
  <si>
    <t>4430020 
Ext 10601</t>
  </si>
  <si>
    <t>86111500
86111600
86130000
86121500</t>
  </si>
  <si>
    <r>
      <t xml:space="preserve">Facilitar el acceso de la poblacion objeto de atención de la entidad a los servicios educativos en modalidades flexibles (semipresencial, virtual o por módulos) y con capacidad de cobertura en lugares de dispersión y difiícil acceso </t>
    </r>
    <r>
      <rPr>
        <b/>
        <sz val="11"/>
        <color theme="1"/>
        <rFont val="Arial"/>
        <family val="2"/>
      </rPr>
      <t>vigencia Futura para 2020</t>
    </r>
  </si>
  <si>
    <t>Agosto</t>
  </si>
  <si>
    <t>Desarrollo de modelos educativos flexibles para jóvenes y adultos</t>
  </si>
  <si>
    <t>Si</t>
  </si>
  <si>
    <t>80101600
93141500
93141700
94131500
94131800
94132000</t>
  </si>
  <si>
    <t>Diseñar el Proyecto del Programa Especial de Armonización para la Reintegración y Reincorporación Social y Económica con Enfoque Diferencial Étnico y de Género dirigido a negros, afrocolombianos, raizales y palenqueros</t>
  </si>
  <si>
    <t xml:space="preserve">Fortalecimiento de la Reincorporación de los Ex-integrantes de las FARC-EP  NACIONAL- </t>
  </si>
  <si>
    <t>C-0211-1000-4-0-0211022-02</t>
  </si>
  <si>
    <t>Diseñar propuesta del Programa Especial de Armonización y Reincorporación Social y Económica con enfoque diferencial y de Género y adelantar acciones tendientes al alistamiento para el proceso consultivo con pueblos y comunidades indígenas</t>
  </si>
  <si>
    <t>Fortalecimiento de la Reincorporación de los Ex-integrantes de las FARC-EP  NACIONAL-                                                     Programa de armonizacion de enfoque étnico</t>
  </si>
  <si>
    <t>86000000
86110000
86116000
83000000</t>
  </si>
  <si>
    <r>
      <t xml:space="preserve">Amparar la contratación para la implementación de iniciativas comunitarias priorizadas, jornadas comunitarias de convivencia y reconciliación, y talleres de análisis de contexto para la prevención temprana de riesgos, en el marco de la Estrategia de Prevención de la victimización, reincidencia y estigmatización
</t>
    </r>
    <r>
      <rPr>
        <b/>
        <sz val="11"/>
        <color theme="1"/>
        <rFont val="Arial"/>
        <family val="2"/>
      </rPr>
      <t>(Adición de recursos a Convenio de Cooperación Internacional - Contrato No. 1112 de 2019)</t>
    </r>
  </si>
  <si>
    <t>Adición</t>
  </si>
  <si>
    <t xml:space="preserve">Prevención victimización y reincidencia de PPR en territorio </t>
  </si>
  <si>
    <t>C-0211-1000-3-0</t>
  </si>
  <si>
    <t>Beatriz Acosta Medina</t>
  </si>
  <si>
    <t>Amparar la contratación de instructores, gestores de emprendimiento, evaluadores de competencias y promotores de inclusión laboral para el fortalecimiento de competencias y habilidades blandas en la población objeto de atención ARN</t>
  </si>
  <si>
    <t xml:space="preserve">Honorarios - Instructores SENA </t>
  </si>
  <si>
    <t>Juan Carlos Colmenares</t>
  </si>
  <si>
    <t>Dirección Programática de Reintegración</t>
  </si>
  <si>
    <t>Honorarios CNR-CTR</t>
  </si>
  <si>
    <r>
      <rPr>
        <b/>
        <sz val="11"/>
        <color theme="1"/>
        <rFont val="Arial"/>
        <family val="2"/>
      </rPr>
      <t>Costos CNR y CTR (Acuerdo Final 3.2.2,3) Reincorporación Institucional (Misional)</t>
    </r>
    <r>
      <rPr>
        <sz val="11"/>
        <color theme="1"/>
        <rFont val="Arial"/>
        <family val="2"/>
      </rPr>
      <t xml:space="preserve">
Costos CNR y CTR Equipo Humano</t>
    </r>
  </si>
  <si>
    <t>Guadalupe Guerrero López</t>
  </si>
  <si>
    <t>Honorarios - DPR</t>
  </si>
  <si>
    <r>
      <t xml:space="preserve">Honorarios. Implementación de la estrategia de superación de vulnerabilidad a través de los equipos de trabajo de los grupos territoriales ARN a nivel nacional
</t>
    </r>
    <r>
      <rPr>
        <b/>
        <sz val="11"/>
        <color theme="1"/>
        <rFont val="Arial"/>
        <family val="2"/>
      </rPr>
      <t>Costos Programa de Reincorporación Económica y Social (Misional)</t>
    </r>
    <r>
      <rPr>
        <sz val="11"/>
        <color theme="1"/>
        <rFont val="Arial"/>
        <family val="2"/>
      </rPr>
      <t xml:space="preserve">
Equipo Humano Reincorporación - Misional</t>
    </r>
  </si>
  <si>
    <t xml:space="preserve">A-03-03-01-001
</t>
  </si>
  <si>
    <t>Nelson Velandia Becerra</t>
  </si>
  <si>
    <t>80141900 
90111600 
78111800 
80111600 
90101600</t>
  </si>
  <si>
    <t>Operador logístico misional</t>
  </si>
  <si>
    <t>Licitación Pública</t>
  </si>
  <si>
    <t>Apoyo en la consecución de elementos de apoyo logístico para la realización de eventos de gestión interna y externa de las regiones y de la DPR en cumplimiento de los objetivos misionales de la ARN, para posicionar la PNRSE (OPERADOR LOGISTICO)
Apoyo logístico para la realización de eventos con comunidades étnicas NARP (OPERADOR LOGÍSTICO)
Costos Programa de Reincorporación Económica y social (Misional)
Apoyo en la consecución de elementos de apoyo logístico para la realización de eventos de gestión interna y externa de las regiones y de la DPR en cumplimiento de los objetivos misionales de la ARN, para posicionar la Política de Reincorporación (OPERADOR LOGISTICO)
Apoyo logístico para la realización de eventos con comunidades étnicas indígenas
Costos CNR y CTR (Acuerdo Final 3.2.2.3) Reincorporación Institucional (Misional)
Costos CNR y CTR Logística (operador logístico)</t>
  </si>
  <si>
    <t>A-03-03-01-001
C-0211-1000-4-0-0211022-02
A-03-03-01-001</t>
  </si>
  <si>
    <t>4430020 
Ext 10607</t>
  </si>
  <si>
    <t>secretaría General</t>
  </si>
  <si>
    <t>Honorarios de apoyo a la Gestión</t>
  </si>
  <si>
    <t>Enero</t>
  </si>
  <si>
    <t xml:space="preserve">Equipo Humano Reincorporación - Apoyo Honorarios Apoyo a la Gestión (Reintegración)
Costos Programa de Reincorporación Económica y Social (Administrativo)
</t>
  </si>
  <si>
    <t>Secretaría General - Asesor de Seguridad</t>
  </si>
  <si>
    <t>92101501
92121700</t>
  </si>
  <si>
    <t>Servicio de vigilancia y seguridad privada
(Vigencia Futura 2018) - Contrato N° 1786 del 2018</t>
  </si>
  <si>
    <t>Servicio de vigilancia y seguridad privada, sin armas, incluyendo la operación de medios tecnológicos en el personal de vigilancia en los centros de servicios a nivel nacional y el nivel central.</t>
  </si>
  <si>
    <t>A-02-02-02-008
A-03-03-03-001</t>
  </si>
  <si>
    <t>William Fonseca</t>
  </si>
  <si>
    <t xml:space="preserve">Servicio de vigilancia y seguridad privada Vigencia para el 2021 - 2022
</t>
  </si>
  <si>
    <t>Nuevo contrato</t>
  </si>
  <si>
    <t>Septiembre</t>
  </si>
  <si>
    <t>Servicios Tecnológicos integrados de seguridad para Control de Acceso  - Aprovisionamiento Dic 2018 a 2020 - Vigencia Futura para 2019 y 2020 - Contrato N° 1808 del 2018</t>
  </si>
  <si>
    <t>Control de acceso para las sedes a nivel nacional ARN</t>
  </si>
  <si>
    <t>Servicios Tecnológicos integrados de seguridad para Control de Acceso Vigencia para el 2021</t>
  </si>
  <si>
    <t>Adicion</t>
  </si>
  <si>
    <t>4430020 
Ext 10603</t>
  </si>
  <si>
    <t>Oficina de Tecnologías de la Información</t>
  </si>
  <si>
    <t>Nube privada - Contrato 1740 de 2018 (Vig 01 Ene 2019 - 31 Ago 2020)</t>
  </si>
  <si>
    <t>Conectividad y comunicaciones</t>
  </si>
  <si>
    <t>José Vega</t>
  </si>
  <si>
    <t>Grupo de Gesitón Contractual</t>
  </si>
  <si>
    <t>5932211 
Ext 10600</t>
  </si>
  <si>
    <r>
      <t xml:space="preserve"> Nube privada - Nuevo contrato - </t>
    </r>
    <r>
      <rPr>
        <b/>
        <sz val="11"/>
        <color theme="1"/>
        <rFont val="Arial"/>
        <family val="2"/>
      </rPr>
      <t>Vigencia Futura 2021 - 2022</t>
    </r>
  </si>
  <si>
    <t>Selección Abreviada - Acuerdo Marco de Precios</t>
  </si>
  <si>
    <t>Solicitadas</t>
  </si>
  <si>
    <t xml:space="preserve">Conectividad - Contrato No 1737 del 2018 (Vig 01 Ene 2019 - 21 Ago 2020) </t>
  </si>
  <si>
    <r>
      <rPr>
        <b/>
        <sz val="11"/>
        <color theme="1"/>
        <rFont val="Arial"/>
        <family val="2"/>
      </rPr>
      <t>Adicion al Contrato No 1737 del 2018</t>
    </r>
    <r>
      <rPr>
        <sz val="11"/>
        <color theme="1"/>
        <rFont val="Arial"/>
        <family val="2"/>
      </rPr>
      <t xml:space="preserve"> Conectividad -  (Vig 01 Ene 2019 - 21 Ago 2020) ( 22 Ago 2020 - 31 Dic 2020)</t>
    </r>
  </si>
  <si>
    <r>
      <t xml:space="preserve">Nuevo Contrato </t>
    </r>
    <r>
      <rPr>
        <sz val="11"/>
        <color theme="1"/>
        <rFont val="Arial"/>
        <family val="2"/>
      </rPr>
      <t>-conectividad Vigencia Futura para 2021 y 2022</t>
    </r>
    <r>
      <rPr>
        <b/>
        <sz val="11"/>
        <color theme="1"/>
        <rFont val="Arial"/>
        <family val="2"/>
      </rPr>
      <t xml:space="preserve"> (Vig 01 Ene 2021 -  2022) </t>
    </r>
  </si>
  <si>
    <t xml:space="preserve">Si </t>
  </si>
  <si>
    <r>
      <t xml:space="preserve">Adquisición de equipos tecnológicos (Estaciones de Trabajo) </t>
    </r>
    <r>
      <rPr>
        <b/>
        <sz val="11"/>
        <color theme="1"/>
        <rFont val="Arial"/>
        <family val="2"/>
      </rPr>
      <t>AMP 47892 O.C 1133</t>
    </r>
  </si>
  <si>
    <t>días</t>
  </si>
  <si>
    <t>Dotación de equipos                                                     Alquiler o compra de equipos</t>
  </si>
  <si>
    <t>Mónica Amado</t>
  </si>
  <si>
    <t>5932211 
Ext 10601</t>
  </si>
  <si>
    <r>
      <t xml:space="preserve">Adquisición de equipos tecnológicos (Computadores de escritorio) </t>
    </r>
    <r>
      <rPr>
        <b/>
        <sz val="11"/>
        <color theme="1"/>
        <rFont val="Arial"/>
        <family val="2"/>
      </rPr>
      <t>AMP 47891 O.C 1132</t>
    </r>
  </si>
  <si>
    <r>
      <t xml:space="preserve">Adquisición de equipos tecnológicos (Computadores Portatiles) </t>
    </r>
    <r>
      <rPr>
        <b/>
        <sz val="11"/>
        <color theme="1"/>
        <rFont val="Arial"/>
        <family val="2"/>
      </rPr>
      <t>AMP 47893 O.C 1134</t>
    </r>
  </si>
  <si>
    <r>
      <t xml:space="preserve">Adquisición de dispositivos periféricos (Escáner) </t>
    </r>
    <r>
      <rPr>
        <b/>
        <sz val="11"/>
        <color theme="1"/>
        <rFont val="Arial"/>
        <family val="2"/>
      </rPr>
      <t>AMP 47894 O.C 1136</t>
    </r>
  </si>
  <si>
    <r>
      <t xml:space="preserve">Adquisición de dispositivos periféricos (Impresora láser y/o multifuncional) </t>
    </r>
    <r>
      <rPr>
        <b/>
        <sz val="11"/>
        <color theme="1"/>
        <rFont val="Arial"/>
        <family val="2"/>
      </rPr>
      <t>AMP 47895 O.C 1135</t>
    </r>
  </si>
  <si>
    <t xml:space="preserve">Servicio de resguardo y retención de backups históricos a disco </t>
  </si>
  <si>
    <t>Octubre</t>
  </si>
  <si>
    <t>Servicios Tecnológicos para la ARN</t>
  </si>
  <si>
    <t>Merly Parra</t>
  </si>
  <si>
    <t>Adquisición de cámaras fotográficas y sus accesorios que requiere la Oficina Asesora de Comunicaciones de la ARN</t>
  </si>
  <si>
    <t>Selección Abreviada - Subasta Inversa</t>
  </si>
  <si>
    <t>Mauricio Forero (comunicaciones)
Merly Parra</t>
  </si>
  <si>
    <t>Adquisición de pantallas y software de control remoto para la divulgación de información institucional en las sedes de la ARN a nivel nacional</t>
  </si>
  <si>
    <t>Adquisición, instalación y puesta en funcionamiento de gabinetes tipo Mini Data Center y servicios conexos para la ARN</t>
  </si>
  <si>
    <t>Julio</t>
  </si>
  <si>
    <t>Marcela Ramírez Vélez</t>
  </si>
  <si>
    <t>Renovación y/o adquisición de licencias - Productos Microsoft - para la ARN</t>
  </si>
  <si>
    <t>Renovación y adquisición de licenciamiento de la entidad                         Alquiler o compra de equipos</t>
  </si>
  <si>
    <t>Edgar Benavides</t>
  </si>
  <si>
    <t xml:space="preserve">Renovación y/o adquisición de licencias - VMWARE - para la ARN. </t>
  </si>
  <si>
    <t xml:space="preserve">Renovación y/o adquisición de licencias - Creative Cloud - para la ARN. </t>
  </si>
  <si>
    <t xml:space="preserve">Renovación y/o adquisición de licencias  - Acrobat Professional - para la ARN. </t>
  </si>
  <si>
    <t xml:space="preserve">Adicion N° 1 -Renovación y/o adquisición de licencias - Solarwinds - para la ARN-. </t>
  </si>
  <si>
    <r>
      <t xml:space="preserve">Renovación y/o adquisición de licencias - NVIVO plus edition para la ARN.  </t>
    </r>
    <r>
      <rPr>
        <b/>
        <sz val="11"/>
        <color theme="1"/>
        <rFont val="Arial"/>
        <family val="2"/>
      </rPr>
      <t>Contrato 1105 de 2020</t>
    </r>
  </si>
  <si>
    <t>Diana Parra</t>
  </si>
  <si>
    <t xml:space="preserve">Renovación y/o adquisición de licencias - ArcServe - para la ARN. </t>
  </si>
  <si>
    <t>Renovación y/o adquisición de licencias - Comunicaciones unificadas - para la ARN.</t>
  </si>
  <si>
    <t>Noviembre</t>
  </si>
  <si>
    <t>Renovación y/o adquisición de licencias - DevExpress - para la ARN</t>
  </si>
  <si>
    <t>Adquisición de licencias - Prevención del plagio y control de originalidad de la información de la ARN</t>
  </si>
  <si>
    <r>
      <t xml:space="preserve">Renovación y/o adquisición de licencias - Microsoft Azure - para la ARN., </t>
    </r>
    <r>
      <rPr>
        <b/>
        <sz val="11"/>
        <color theme="1"/>
        <rFont val="Arial"/>
        <family val="2"/>
      </rPr>
      <t>Contrato 1084 de 2020</t>
    </r>
  </si>
  <si>
    <t>Contratación de Servicios de Soporte Microsoft Premier y Conexos</t>
  </si>
  <si>
    <t>Servicio Premier Microsoft  Conexos Licenciamiento</t>
  </si>
  <si>
    <t>A-03-03-01-001 A-03-10-01-002</t>
  </si>
  <si>
    <t>Hernan Lotero
Merly Parra</t>
  </si>
  <si>
    <t xml:space="preserve">Proceso Servicios Tecnológicos - Contrato 1807 del 2018 (Vig 19 Nov 2018 - 31 Jul 2022) (Servicio mesa de ayuda, etc) </t>
  </si>
  <si>
    <t>Aprobadas</t>
  </si>
  <si>
    <t>Servicio de Soporte, capacitación y migración de datos Sharepoint (Vig 01 Ene 2020 - 31 dic 2020) AMP -44643 -Contrato N° 1002 de 2020</t>
  </si>
  <si>
    <t>Hernan Lotero</t>
  </si>
  <si>
    <t>Certificaciones digitales</t>
  </si>
  <si>
    <t>Mínima Cuantía</t>
  </si>
  <si>
    <t>José Zarate</t>
  </si>
  <si>
    <t>Grupo de Talento Humano</t>
  </si>
  <si>
    <t>53101502
53101504
53101802
53101804
53111602
53111604
53111601</t>
  </si>
  <si>
    <t>Dotación de personal</t>
  </si>
  <si>
    <t>A-02-02-01-002</t>
  </si>
  <si>
    <t>MONICA BERNAL VANEGAS</t>
  </si>
  <si>
    <t>TALENTO HUMANO</t>
  </si>
  <si>
    <t>85122201
85121700</t>
  </si>
  <si>
    <r>
      <t xml:space="preserve">Contratación de Servicios Médicos Ocupacionales </t>
    </r>
    <r>
      <rPr>
        <b/>
        <sz val="11"/>
        <color theme="1"/>
        <rFont val="Arial"/>
        <family val="2"/>
      </rPr>
      <t>Contrato N° 1152 de 2020</t>
    </r>
  </si>
  <si>
    <t>Examenes Médicos Ocupacionales, actividades semana de la salud y vacunación ( exàmenes ingreso, retiro, periódicos)</t>
  </si>
  <si>
    <t>A-02-02-02-009</t>
  </si>
  <si>
    <t>85122201
85121701</t>
  </si>
  <si>
    <r>
      <rPr>
        <b/>
        <sz val="11"/>
        <color theme="1"/>
        <rFont val="Arial"/>
        <family val="2"/>
      </rPr>
      <t>Recursos por asignar</t>
    </r>
    <r>
      <rPr>
        <sz val="11"/>
        <color theme="1"/>
        <rFont val="Arial"/>
        <family val="2"/>
      </rPr>
      <t xml:space="preserve"> "Examenes Médicos Ocupacionales"</t>
    </r>
  </si>
  <si>
    <t>A-02-02-02-010</t>
  </si>
  <si>
    <t>46182200  42171600  42201700   42271600    42271600</t>
  </si>
  <si>
    <t xml:space="preserve">Adquisición de elementos de protección personal, ergonómicos de Oficina y para emergencias para los colaboradores de la ARN - </t>
  </si>
  <si>
    <t>Adquisicion de EPP, elementos ergonómicos de emergencia y otros elementos de SST</t>
  </si>
  <si>
    <t>A-02-02-01-003-006  
A-02-02-01-002-007    
A-02-01-01-004-003   
A-02-02-01-003-008   
A-02-02-01-003-005    
A-02-02-01-002-008</t>
  </si>
  <si>
    <t>5932211 
Ext 10602</t>
  </si>
  <si>
    <t>86101705_x000D_
86101802_x000D_
86101808_x000D_
86111604</t>
  </si>
  <si>
    <t>Servicio de Capacitacion para funcionarios de la ARN - PIC</t>
  </si>
  <si>
    <t>Capacitación, cursos y seminarios</t>
  </si>
  <si>
    <t>5932211 
Ext 10605</t>
  </si>
  <si>
    <t>86101705
86101802
86101808
86111604</t>
  </si>
  <si>
    <t>Servicio de Capacitacion para funcionarios de la ARN - Congreso Derecho Procesal ICDP</t>
  </si>
  <si>
    <t>5932211 
Ext 10608</t>
  </si>
  <si>
    <t>Servicio de Capacitacion para funcionarios de la ARN - Congreso Derecho Disciplinario ICDD</t>
  </si>
  <si>
    <t>5932211 
Ext 10609</t>
  </si>
  <si>
    <t>Servicio de Capacitacion para funcionarios de la ARN - Actualización Tributaria</t>
  </si>
  <si>
    <t>5932211 
Ext 10610</t>
  </si>
  <si>
    <t>Servicio de Capacitacion para funcionarios de la ARN - Actualización Jurídica Seminario</t>
  </si>
  <si>
    <t>3</t>
  </si>
  <si>
    <t>5932211 
Ext 10612</t>
  </si>
  <si>
    <t>93141506
90141502
90101600</t>
  </si>
  <si>
    <t>Servicio para la organización, coordinación y ejecución de actividades contenidas en el Plan de Bienestar social e Incentivos.</t>
  </si>
  <si>
    <t>Organización y logistica de las actividades a realizar por concepto de selección, salud ocupacional, bienestar y capacitación.</t>
  </si>
  <si>
    <t>5932211 
Ext 10613</t>
  </si>
  <si>
    <t xml:space="preserve">Suministro Tiquetes aereos - Contrato N° 1548 Vigencia Futura 2020 </t>
  </si>
  <si>
    <t>Adquisición de tiquetes al Exterior
Adquisición de tiquetes al Interior
Adquisición de tiquetes</t>
  </si>
  <si>
    <t>A-02-02-02-006
A-03-03-01-001</t>
  </si>
  <si>
    <t>SI</t>
  </si>
  <si>
    <t>5932211 
Ext 10614</t>
  </si>
  <si>
    <t>Servicio de procesamiento de la nómina de la Entidad Contrato N° 1076 de 2020</t>
  </si>
  <si>
    <t>Soporte Software Gestión Talento Humano</t>
  </si>
  <si>
    <t>A-02-02-02-008</t>
  </si>
  <si>
    <t>42132201
42131606</t>
  </si>
  <si>
    <t>Adquisición de elementos de Bioseguridad para afrontar la emergencia por COVID-19</t>
  </si>
  <si>
    <t>A-02-02-01-003-006  
A-02-02-01-002-007
A-02-02-01-002-008</t>
  </si>
  <si>
    <t>Servicio de apoyo, acompañamiento y orientación jurídica especializada, en materia de derecho administrativo, laboral, carrera administrativa y procedimientos de negociación y solución de controversias con las organizaciones sindicales de empleados públicos. Contrato N° 1080 de 2020</t>
  </si>
  <si>
    <t>Honorarios apoyo a la gestión</t>
  </si>
  <si>
    <t>5932211 
Ext 10615</t>
  </si>
  <si>
    <t>Subdirección Financiera</t>
  </si>
  <si>
    <t>Adquisición de Firmas Digitales SIIF (Token)</t>
  </si>
  <si>
    <t>Adquisición de firmas digitales</t>
  </si>
  <si>
    <t>A-02-02-01-004-005</t>
  </si>
  <si>
    <t>Juan Carlos Herrán Vélez</t>
  </si>
  <si>
    <t>A-02-02-01-004-006</t>
  </si>
  <si>
    <t>Convenio  PAZ PATRIMONIO AUTONOMO FONDO COLOMBIA EN PAZ - PA-FCP (Contrato No 1066 del 2018)</t>
  </si>
  <si>
    <t>Articular esfuerzos entre el Patrimonio Autónomo Fondo Colombia en Paz y la Agencia para la materialización de los instrumentos establecidos en el Decreto ley 899 del 29 de mayo de 2017.</t>
  </si>
  <si>
    <t>NA</t>
  </si>
  <si>
    <r>
      <t xml:space="preserve">Comisión Fiduciaria para desembolso de beneficios a PPRs (Personas en Proceso de Reintegración) y Personas en Proceso de Reincorporación  (Vigencia Futura 2018) - Contrato N° 1806 del 2018 </t>
    </r>
    <r>
      <rPr>
        <b/>
        <sz val="11"/>
        <color theme="1"/>
        <rFont val="Arial"/>
        <family val="2"/>
      </rPr>
      <t>Vigencia Futura 2021</t>
    </r>
  </si>
  <si>
    <t>Comisión fiduciaria para desembolso de PPR</t>
  </si>
  <si>
    <t>84000000
84100000</t>
  </si>
  <si>
    <r>
      <t xml:space="preserve">Contratar al Banco Agrario de Colombia S.A., para prestar el servicio bancario de pagos de los beneficios económicos.  (De acuerdo a la normatividad Decreto 069 del 2018) - </t>
    </r>
    <r>
      <rPr>
        <b/>
        <sz val="11"/>
        <color theme="1"/>
        <rFont val="Arial"/>
        <family val="2"/>
      </rPr>
      <t xml:space="preserve">Vigencia Futura 2020 </t>
    </r>
    <r>
      <rPr>
        <sz val="11"/>
        <color theme="1"/>
        <rFont val="Arial"/>
        <family val="2"/>
      </rPr>
      <t>- Reintegración Contrato 1547 de 2019</t>
    </r>
  </si>
  <si>
    <t>Contratado</t>
  </si>
  <si>
    <t xml:space="preserve">Comisión Bancaria por desembolsos PPR (Reintegración)
Comisión Bancaria para realizar el desembolsos de los beneficios económicos a las integrantes FARC que se encuentran en listas inhibitorias internacionales y tienen cuenta Paz con el Banco Agrario de Colombia (Reincorporación) </t>
  </si>
  <si>
    <t>Deyanira Olivera</t>
  </si>
  <si>
    <t>Grupo de Atención al ciudadano</t>
  </si>
  <si>
    <t>Realizar un estudio de percepción y satisfacción frente a los servicios, beneficios y atención ofrecidos por la agencia para la reincorporación y normalización – ARN y dirigido a la población objeto de atención y el cliente interno de conformidad con el anexo no.1. “especificaciones técnicas minimas”</t>
  </si>
  <si>
    <t>Selección Abreviada -Literal H</t>
  </si>
  <si>
    <t>Conocer la percepción y satisfacción de las Personas Desmovilizadas en Proceso de Reintegración, familias, actores externos y ciudadanos colombianos, frente a los servicios, beneficios y atención ofrecidos por la ARN</t>
  </si>
  <si>
    <t>Celmira Frasser Acevedo</t>
  </si>
  <si>
    <t>80141900  90111600 78111800 80160000 90101600</t>
  </si>
  <si>
    <t xml:space="preserve">Operador logístico misional </t>
  </si>
  <si>
    <t>Participar en ferias nacionales de servicio al ciudadano  (OPERADOR LOGISTICO)</t>
  </si>
  <si>
    <t>Centro de contacto Call Center - Vigencia Futura 2020</t>
  </si>
  <si>
    <t>Prestar servicio Call center, numeral 516 y línea 018000911516</t>
  </si>
  <si>
    <r>
      <t>Centro de contacto Call Center - Vigencia Futura para 2021 C</t>
    </r>
    <r>
      <rPr>
        <b/>
        <sz val="11"/>
        <color theme="1"/>
        <rFont val="Arial"/>
        <family val="2"/>
      </rPr>
      <t>ontrato N° 1149 de 2020</t>
    </r>
  </si>
  <si>
    <t xml:space="preserve">80141900 90111600  78111800 80111600  90101600                                                                                                                                                                              </t>
  </si>
  <si>
    <t>Fortalecimiento de la cultura de atención al ciudadano y proceso de atención al ciudadano (OPERADOR LOGISTICO)</t>
  </si>
  <si>
    <t>Oficina Asesora de Planeación</t>
  </si>
  <si>
    <t xml:space="preserve">Renovación de la licencia de uso y actualización, y el soporte y mantenimiento de la plataforma de gestión Tracking and Management System – TMS versión 2020, utilizado para la administración del Sistema Integrado de Gestión para la Reintegración –SIGER. </t>
  </si>
  <si>
    <t>Adquisición de la Licencia de actualización, soporte y mantenimiento del Software administrador del SIGER</t>
  </si>
  <si>
    <t xml:space="preserve">Celmira Frasser Acevedo </t>
  </si>
  <si>
    <t>80141900
90111600
78111800
80111600
90101600</t>
  </si>
  <si>
    <t xml:space="preserve">Realización de audiencias públicas </t>
  </si>
  <si>
    <t>Subdirección Administrativa</t>
  </si>
  <si>
    <t>Acuerdo de Participación de Terceros</t>
  </si>
  <si>
    <t>Administración de los ETCR                  Antiguos ETCR - Acuerdo de Participación de Terceros</t>
  </si>
  <si>
    <t xml:space="preserve">Jorge Ignacio Alvarez Lopez </t>
  </si>
  <si>
    <t>443 00 20
Ext 10600</t>
  </si>
  <si>
    <t>444 00 20
Ext 10600</t>
  </si>
  <si>
    <t>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 Contrato N° 1039 de 2020</t>
  </si>
  <si>
    <t>Antiguos ETCR - Póliza aseguramiento bienes                                      Administración de los ETCR</t>
  </si>
  <si>
    <t>Grupo de Almacen e Inventarios</t>
  </si>
  <si>
    <t>Adquisicion de la actualización, soporte y mantenimiento técnico a la licencia Aladino Windows SQL Seerver para la gestión y control de inventarios de los bienes muebles de la Agencia para la Reincorporación y Normalización ARN</t>
  </si>
  <si>
    <t xml:space="preserve">Actualizacion del aplicativo  Aladino </t>
  </si>
  <si>
    <t xml:space="preserve">A-02-02-02-008 </t>
  </si>
  <si>
    <t xml:space="preserve">Sandra Mayerly Avendano Blanco </t>
  </si>
  <si>
    <t>44121600
44121700
44121800
44122100
44122000</t>
  </si>
  <si>
    <t>Suministro de útiles de oficina</t>
  </si>
  <si>
    <t>Suministro de Papeleria ARN
Costos Programa de Reincorporación Económica y social (Administrativo)</t>
  </si>
  <si>
    <t>A-03-03-01-001
A-03-03-01-001</t>
  </si>
  <si>
    <t>Suministro de papelería</t>
  </si>
  <si>
    <t>A-03-03-01-001
A-03-03-01-002</t>
  </si>
  <si>
    <t>Suministro de Tóner</t>
  </si>
  <si>
    <t>Suministro de Papeleria ARN     Costos Programa de Reincorporación Económica y social (Administrativo)</t>
  </si>
  <si>
    <t xml:space="preserve">A-03-03-01-001 </t>
  </si>
  <si>
    <t>Suministro de Tóner para la ARN</t>
  </si>
  <si>
    <t>Grupo de Gestión Documental</t>
  </si>
  <si>
    <t>Suministro de insumos de archivo</t>
  </si>
  <si>
    <t xml:space="preserve">Compra Insumos Gestión Documental </t>
  </si>
  <si>
    <t>A-02-02-01-003</t>
  </si>
  <si>
    <t xml:space="preserve">41115300 
41115309 
41112215 
41112300 
41112303 
21101800 
21101805 
52141800 
52141533 
60105700 
60105705 
60121100 
60121146_x000B_41112301_x000B_41112222 </t>
  </si>
  <si>
    <r>
      <t xml:space="preserve">Adquisición de  equipos de monitoreo, herramientas y/o materiales especializados para conservación y/o restauración de los documentos de la ARN. </t>
    </r>
    <r>
      <rPr>
        <b/>
        <sz val="11"/>
        <color theme="1"/>
        <rFont val="Arial"/>
        <family val="2"/>
      </rPr>
      <t>Contrato N° 1150</t>
    </r>
  </si>
  <si>
    <t>Equipo de conservación documental</t>
  </si>
  <si>
    <t>A-02-01-01-004-004</t>
  </si>
  <si>
    <t>80131502
95141706</t>
  </si>
  <si>
    <t>Contrato Alquiler bodega (Vigencia Futura 2020 Contrato N° 1771 del 2018)</t>
  </si>
  <si>
    <t xml:space="preserve">Contrato Alquiler bodega Archivo </t>
  </si>
  <si>
    <r>
      <t xml:space="preserve">Contrato Alquiler bodega  desde julio de 2020 hasta diciembre </t>
    </r>
    <r>
      <rPr>
        <b/>
        <sz val="11"/>
        <color theme="1"/>
        <rFont val="Arial"/>
        <family val="2"/>
      </rPr>
      <t xml:space="preserve">Vigencia Futura para 2021 y 2022 </t>
    </r>
  </si>
  <si>
    <t>Servicios postales de correspondencia (Vigencia futura  2020) - Contrato N° 1779 del 2018</t>
  </si>
  <si>
    <t>Servicios Postales de Correspondencia</t>
  </si>
  <si>
    <t xml:space="preserve">Servicios postales de correspondencia desde julio de 2020 hasta 31 diciembre Vigencia Futura para 2021 y 2022 </t>
  </si>
  <si>
    <t>Grupo de Gestión Administrativa</t>
  </si>
  <si>
    <t>Contratación para Suministro de Combustible (Vigencia futura del 2020) - Contrato N° 1797 del 2018 (01 Dic 2020 al 30 Nov 2020)</t>
  </si>
  <si>
    <t>Contratación para Suministro de Combustible</t>
  </si>
  <si>
    <t>A-02-02-01-003-003</t>
  </si>
  <si>
    <t>Arnulfo Parrado Aguilera</t>
  </si>
  <si>
    <t>Suministro de combustible vigencia futura 2020, 2021 y 2022. Desde 01/12/2020 hasta el 30/06/2022 (Nuevo contrato)</t>
  </si>
  <si>
    <t>A-02-02-01-003-004</t>
  </si>
  <si>
    <t>92121800
78111808</t>
  </si>
  <si>
    <t>Contratación servicio de vehículo Blindado y seguidor (Vigencia Futura 2020) - Contrato N°1801 del 2018  (01 Dic 2020 al 31 Dic  2020)</t>
  </si>
  <si>
    <t>Contratación Servicio de vehículo</t>
  </si>
  <si>
    <t>A-02-02-02-006-06
A-02-02-02-006-03
A-02-02-02-006-07-04
A-02-02-01-003-003-03</t>
  </si>
  <si>
    <t>92121800
78111809</t>
  </si>
  <si>
    <t>Contratación servicio de vehículo Blindado y seguidor Vigencia Futura para 2021 y 2022 (Nuevo contrato)</t>
  </si>
  <si>
    <t>A-02-02-02-006-06
A-02-02-02-006-03
A-02-02-02-006-07-04
A-02-02-01-003-003-04</t>
  </si>
  <si>
    <t>78181507 25172500 25172504</t>
  </si>
  <si>
    <t>Mantenimiento parque automotor (Vigencia Futura 2020) - Contrato N°1817-2018 (01 Dic 2020 al 30 Nov  2020)</t>
  </si>
  <si>
    <t>Mantenimiento Parque automotor                        Mantenimiento Parque Automotor - Llantas                       Mantenimiento Parque Automotor - Repuestos</t>
  </si>
  <si>
    <t xml:space="preserve">A-02-02-01-003-006
A-02-02-01-003-007
A-02-02-02-008-007 
</t>
  </si>
  <si>
    <t>78181507 
25172500 
25172505</t>
  </si>
  <si>
    <t>Mantenimiento parque automotor (Vigencia Futura 2021 y 2022) -(Nuevo Contrato)</t>
  </si>
  <si>
    <t>Mantenimiento Parque automotor</t>
  </si>
  <si>
    <t>A-02-02-01-003-006
A-02-02-01-004-003 
A-02-02-02-008-007
A-02-02-01-003-003 
A-02-02-01-004-001
A-02-02-01-004-002</t>
  </si>
  <si>
    <t>95121503
72101508
76101502</t>
  </si>
  <si>
    <r>
      <t xml:space="preserve">Aseo, cafetería y mantenimiento - Vigencia Futura del 2020- </t>
    </r>
    <r>
      <rPr>
        <b/>
        <sz val="11"/>
        <color theme="1"/>
        <rFont val="Arial"/>
        <family val="2"/>
      </rPr>
      <t>Contrato No 1565 del 2019. O.C. 42088  (Regional 11)</t>
    </r>
  </si>
  <si>
    <t>Aseo Cafetería y Mantenimiento</t>
  </si>
  <si>
    <t xml:space="preserve"> A-02-02-02-008
 A-02-02-02-006
A-03-03-01-001</t>
  </si>
  <si>
    <t>Aseo, cafetería y mantenimiento -  (Regional 11). Vence 31/10/2020 hasta el 31/12/2020 Vigencia Futura para el 2021 y para el 2022</t>
  </si>
  <si>
    <t>Aseo, cafetería y mantenimiento -Vigencia Futura del 2020- Contratos No 1555 del 2019 (R1), 1556 (R2), 1557 (R3), 1558 (R4), 1559 (R5), 1560 (R6), 1561 (R7), 1562 (R8), 1563 (R9) y 1564 (R10)</t>
  </si>
  <si>
    <r>
      <t xml:space="preserve">Aseo, cafetería y mantenimiento (Contratos: R1 (Cont 1555), R2 (Cont 1556), R3 (Cont 1557), R4 (Cont 1558), R5 (Cont 1559), R6 (Cont 1560), R7 (Cont 1561), R8 (Cont 1562), R9 (Cont 1563) y R10 (Cont 1564)
 - </t>
    </r>
    <r>
      <rPr>
        <b/>
        <sz val="11"/>
        <color theme="1"/>
        <rFont val="Arial"/>
        <family val="2"/>
      </rPr>
      <t>Vence 15/11/2020 hasta el 31/12/2020  Vigencia Futura para el 2021 y para el 2022</t>
    </r>
  </si>
  <si>
    <t>95121503
72101508
76101503</t>
  </si>
  <si>
    <r>
      <t xml:space="preserve">Aseo, cafetería y Mantenimiento –Regional 6 y Regional 7 </t>
    </r>
    <r>
      <rPr>
        <b/>
        <sz val="11"/>
        <color theme="1"/>
        <rFont val="Arial"/>
        <family val="2"/>
      </rPr>
      <t>Contrato N° 1112 de 2020-Contrato N° 1113 de 2020</t>
    </r>
  </si>
  <si>
    <t>marzo</t>
  </si>
  <si>
    <t>Contrato de arrendamiento Sede Central  (Nuevo Contrato)  con Vigencia Futura 2020 - Contrato N°  1605 de 2019</t>
  </si>
  <si>
    <t>Contratos de arrendamiento Sede Central</t>
  </si>
  <si>
    <t>A-02-02-02-007</t>
  </si>
  <si>
    <t>Contrato de arrendamiento Sede Alterna Edificio Santander Contrato Nuevo - Vigencia futura 2020 - Contrato N°  1778 del 2018</t>
  </si>
  <si>
    <t>Contrato de arrendamiento Sede Central Alterna (Edif. Santander) Contrato Nuevo - Vigencia futura Para 2021 - 2022. Desde 30/11/2020 hasta el 31/07/2022</t>
  </si>
  <si>
    <t>Diciembre</t>
  </si>
  <si>
    <t>Contrato de arrendamiento Edificio Quintana piso 7  - Vigencia  futura 2020 (16 Dic 2019 al 15 Dic 2020) - Contrato N° 1803 del 2018</t>
  </si>
  <si>
    <t>Contratos de arrendamiento inmuebles para Grupos Territoriales</t>
  </si>
  <si>
    <t>Contrato de arrendamiento Edificio Quintana piso 8, 9 Y 10 - Vigencia futura 2020 (16 Dic 2019 al 15 Dic 2020) - Contrato N°1610 del 2019</t>
  </si>
  <si>
    <t>Contratos de arrendamiento 
inmuebles para Grupos Territoriales (Piso 8) (Reincorporación)
Costos CNR - CTR (Costos Administrativos) (Pisos 9 y 10) ( Reincorporación)</t>
  </si>
  <si>
    <t>Contrato de arrendamiento Edificio Quintana piso 8, 9 Y 10 - 16 (15 Dic 2020 al 31 Dic 2020) - Contrato N°1610 del 2019</t>
  </si>
  <si>
    <t>Contrato de arrendamiento ARN -Norte de Santander- Arauca (Arauca) (Contrato Nuevo) (16 Dic/19 al 15 Dic 2020) con Vigencia Futura del 2020 - Contrato N° 1595 del 2019</t>
  </si>
  <si>
    <t>Contrato de arrendamiento ARN Antioquia Choco (Quibdó) (Contrato Nuevo) (16 Dic/19 al 15 Dic 2020) Vigencia Futura del 2020 - Contrato N°  1613 del 2019</t>
  </si>
  <si>
    <t>Contrato de arrendamiento ARN Magdalena Guajira ( Riohacha) (16 Dic/19 al 15 Dic 2020) Vigencia Futura del 2020 - Contrato N° 1614 del 2019</t>
  </si>
  <si>
    <t>Contrato de arrendamiento ARN Meta Orinoquía (Punto de Atención San Jose del Guaviare ) (16 Dic/19 al 15 Dic 2020) Vigencia Futura del 2020 - Contrato N° 1596 del 2019</t>
  </si>
  <si>
    <t>Contrato de arrendamiento ARN Nueva sede Santander de Quilichao. Contrato N° 1077 de 2020</t>
  </si>
  <si>
    <t>Contrato de arrendamiento ARN URABA (APARTADO) - (16 Dic/19 al 15 Dic 2020) Vigencia Futura del 2020 - Contrato N° 1575 del 2019</t>
  </si>
  <si>
    <t xml:space="preserve">Contrato de arrendamiento ARN ATLANTICO (BARRANQUILLA) -(16 Dic/19 al 15 Dic 2020) Vigencia Futura del 2020 - Contrato N° 1570 del 2019 </t>
  </si>
  <si>
    <t>Contrato de arrendamiento ARN BOLIVAR (CARTAGENA) - (16 Dic/19 al 15 Dic 2020) Vigencia Futura del 2020 - Contrato N° 1608 del 2019</t>
  </si>
  <si>
    <t>Contrato de arrendamiento ARN CORDOBA (MONTERIA)- (16 Dic/19 al 15 Dic 2020) Vigencia Futura del 2020 - Contrato N° 1607 del 2019</t>
  </si>
  <si>
    <t>Contrato de arrendamiento ARN CESAR (VALLEDUPAR) -(16 Dic/19 al 15 Dic 2020) Vigencia Futura del 2020 - Contrato N° 1574 del 2019</t>
  </si>
  <si>
    <t>Contrato de arrendamiento ARN MAGDALENA GUAJIRA (SANTA MARTA) - (16 Dic/19 al 15 Dic 2020) Vigencia Futura del 2020 - Contrato N° 1580 del 2019</t>
  </si>
  <si>
    <t>Contrato de arrendamiento ARN SUCRE (SINCELEJO) - (16 Dic/19 al 15 Dic 2020) Vigencia Futura del 2020 - Contrato N° 1593 del 2019</t>
  </si>
  <si>
    <t>Contrato de arrendamiento ARN VALLE DEL CAUCA (CALI)- (16 Dic/19 al 15 Dic 2020) Vigencia Futura del 2020 - Contrato N° 1584 del 2019</t>
  </si>
  <si>
    <t>Contrato de arrendamiento ARN PUNTO DE ATENCION CALI - (16 Dic/19 al 15 Dic 2020) Vigencia Futura del 2020 - Contrato N° 1612 del 2019</t>
  </si>
  <si>
    <t>Contrato de arrendamiento ARN PUTUMAYO (MOCOA) - (16 Dic/19 al 15 Dic 2020) Vigencia Futura del 2020 - Contrato N° 1599 del 2019</t>
  </si>
  <si>
    <t>Contrato de arrendamiento ARN HUILA (NEIVA) - (16 Dic/19 al 15 Dic 2020) Vigencia Futura del 2020 - Contrato N° 1597 del 2019</t>
  </si>
  <si>
    <t>Contrato de arrendamiento ARN NARIÑO (PASTO) - (16 Dic/19 al 15 Dic 2020) Vigencia Futura del 2020 - Contrato N° 1601 del 2019</t>
  </si>
  <si>
    <t>Contrato de arrendamiento ARN CAUCA (POPAYAN) - (16 Dic/19 al 15 Dic 2020) Vigencia Futura del 2020 - Contrato N° 1611 del 2019</t>
  </si>
  <si>
    <t>Contrato de arrendamiento ARN ALTO MAGDALENA MEDIO (PUERTO BERRIO) - (16 Dic/19 al 15 Dic 2020) Vigencia Futura del 2020 - Contrato N° 1603 del 2019</t>
  </si>
  <si>
    <t>Contrato de arrendamiento ARN SANTANDER Y ARAUCA (BUCARAMANGA- (16 Dic/19 al 15 Dic 2020) Vigencia Futura del 2020 - Contrato N° 1595 del 2019</t>
  </si>
  <si>
    <t>Contrato de arrendamiento -ARN BAJO MAGDALENA MEDIO (BARRANCABERMEJA) - (16 Dic/19 al 15 Dic 2020) Vigencia Futura del 2020 - Contrato N° 1577 del 2019</t>
  </si>
  <si>
    <t>Contrato de arrendamiento ARN NORTE DE SANTANDER- ARAUCA (CUCUTA) - (16 Dic/19 al 15 Dic 2020) Vigencia Futura del 2020 - Contrato N° 1600 del 2019</t>
  </si>
  <si>
    <t>Contrato de arrendamiento ARN TOLIMA (IBAGUE) - (16 Dic/19 al 15 Dic 2020) Vigencia Futura del 2020 - Contrato N° 1615 del 2019</t>
  </si>
  <si>
    <t>Contrato de arrendamiento ARN ANTIOQUIA CHOCO (MEDELLIN) - (16 Dic/19 al 15 Dic 2020) Vigencia Futura del 2020 - Contrato N° 1619 del 2019</t>
  </si>
  <si>
    <t>Contrato de arrendamiento ARN EJE CAFETERO (PEREIRA)- (16 Dic/19 al 15 Dic 2020) Vigencia Futura del 2020 - Contrato N° 1594 del 2019</t>
  </si>
  <si>
    <t>Contrato de arrendamiento ARN CAQUETA (FLORENCIA) - (16 Dic/19 al 15 Dic 2020) Vigencia Futura del 2020 - Contrato N° 1598 del 2019</t>
  </si>
  <si>
    <t>Contrato de arrendamiento ARN CASANARE (YOPAL) - (16 Dic/19 al 15 Dic 2020) Vigencia Futura del 2020 - Contrato N° 1568 del 2019</t>
  </si>
  <si>
    <t>Contrato de arrendamiento ARN META ORINOQUÍA (VILLAVICENCIO) - (16 Dic/19 al 15 Dic 2020) Vigencia Futura del 2020 - Contrato N° 1581 del 2019</t>
  </si>
  <si>
    <t>Contrato de arrendamiento ARN BOGOTA  (TUNJUELITO)- (16 Dic/19 al 15 Dic 2020) Vigencia Futura del 2020 - Contrato N° 1578 del 2019</t>
  </si>
  <si>
    <t>Contrato de arrendamiento ARN CUNDINAMARCA BOYACÁ (ENGATIVA) - (16 Dic/19 al 15 Dic 2020) Vigencia Futura del 2020 - Contrato N°1618 del 2019</t>
  </si>
  <si>
    <t>Contrato de arrendamiento ARN BOGOTÁ (KENNEDY) - (16 Dic/19 al 15 Dic 2020) Vigencia Futura del 2020 - Contrato N° 1583 del 2019</t>
  </si>
  <si>
    <t>Contrato de arrendamiento ARN BOGOTA (ANTONIO NARIÑO) - (16 Dic/19 al 15 Dic 2020) Vigencia Futura del 2020 - Contrato N° 1579 del 2019</t>
  </si>
  <si>
    <t>Contrato de arrendamiento ARN NARIÑO (TUMACO) - (16 Dic/19 al 15 Dic 2020) Vigencia Futura del 2020 - Contrato N°1602 del 2019</t>
  </si>
  <si>
    <t>Contrato de arrendamiento ARN CUNDINAMARCA BOYACÁ (SOACHA) - (16 Dic/19 al 15 Dic 2020) Vigencia Futura del 2020 - Contrato N° 1606 del 2019</t>
  </si>
  <si>
    <t xml:space="preserve">Contratos de arrendamiento Grupos Territoriales (16 Dic/20 al 30 Dic 2020) Vigencia para 2021 </t>
  </si>
  <si>
    <t>Adecuación de los inmuebles donde funciona las sedes de la Entidad</t>
  </si>
  <si>
    <t xml:space="preserve">Abril  </t>
  </si>
  <si>
    <t>Adecuaciones de las sedes de la ARN</t>
  </si>
  <si>
    <t>A-03-03-01-001
A-02-02-02-005-004</t>
  </si>
  <si>
    <t>ADQUISICIÓN DE MOBILIARIO  PARA LAS DISTINTAS DEPENDENCIAS DE LA ARN, DE ACUERDO CON LO ESTABLECIDO EN EL ANEXO No. 1 “FICHA TECNICA</t>
  </si>
  <si>
    <t>Adquisición de Mobiliario</t>
  </si>
  <si>
    <t>A-02-01-01-003-008</t>
  </si>
  <si>
    <t>Adecuación de los inmuebles donde funciona las sedes de la Entidad Sala Amiga</t>
  </si>
  <si>
    <t>Adquisición elementos salas amigas</t>
  </si>
  <si>
    <t>72152104              30141500                72152100</t>
  </si>
  <si>
    <t>Suministro e instalación de películas control solar</t>
  </si>
  <si>
    <t xml:space="preserve">Adquisición de elementos requeridos para el funcionamiento </t>
  </si>
  <si>
    <t>A-02-02-01-003-006
A-02-02-02-005-004</t>
  </si>
  <si>
    <t>52131600
72153600</t>
  </si>
  <si>
    <t>Suministro e instalación de persianas control solar</t>
  </si>
  <si>
    <t>27113201              39121321                31211500                 39101500</t>
  </si>
  <si>
    <t xml:space="preserve">Ferreteria </t>
  </si>
  <si>
    <t>Adquisición elementos de Ferreteria</t>
  </si>
  <si>
    <t>72101500
40101701
72151207</t>
  </si>
  <si>
    <t>Compra, instalación y mantenimiento de aires acondicionados y ventiladores</t>
  </si>
  <si>
    <t>Compra y Mantenimiento Aires Acondicionados</t>
  </si>
  <si>
    <r>
      <t xml:space="preserve">Adicion Contratación Seguros de la Entidad </t>
    </r>
    <r>
      <rPr>
        <b/>
        <sz val="11"/>
        <color theme="1"/>
        <rFont val="Arial"/>
        <family val="2"/>
      </rPr>
      <t>Contrato 1174/14 - Póliza de seguros</t>
    </r>
  </si>
  <si>
    <t>Contratación Seguros de la Entidad</t>
  </si>
  <si>
    <t>A-02-02-02-007                     A-03-03-01-001</t>
  </si>
  <si>
    <r>
      <t xml:space="preserve">Contratación Seguros de la Entidad </t>
    </r>
    <r>
      <rPr>
        <b/>
        <sz val="11"/>
        <color theme="1"/>
        <rFont val="Arial"/>
        <family val="2"/>
      </rPr>
      <t>Contrato 1139 de 2020</t>
    </r>
  </si>
  <si>
    <t>Contratación Seguros de Vehículos de la Entidad OC 47989 de 2020</t>
  </si>
  <si>
    <t>Año</t>
  </si>
  <si>
    <t>Contratación Seguros de la Entidad Poliza todo daño materiales -grupos territoriales- Contrato 1139 de 2020</t>
  </si>
  <si>
    <t>A-02-02-02-007                     A-03-03-01-002</t>
  </si>
  <si>
    <t>Adquisición de dispensadores de Agua - Adquisición de filtros de agua</t>
  </si>
  <si>
    <t>Extintores</t>
  </si>
  <si>
    <t>Rampas portátiles</t>
  </si>
  <si>
    <t>76122304
76122203
76122404                                                                                                                      76121501</t>
  </si>
  <si>
    <t>Contratar los servicios de transporte, almacenamiento temporal, tratamiento y/o disposición final adecuada de residuos peligrosos y/o especiales, generados por la Agencia para la Reincorporación y Normalización a Nivel Nacional.</t>
  </si>
  <si>
    <t xml:space="preserve">Elementos para el Plan de Gestión Ambiental  </t>
  </si>
  <si>
    <t>A-02-02-01-003
A-02-02-01-003-006</t>
  </si>
  <si>
    <t>Adquisición de contenedores para acopio de respel, así como tapas y canecas de puntos ecológicos existentes, para reemplazo de las actuales que presentan deterioro, para las sedes, grupos territoriales y/o puntos de atención de la ARN,</t>
  </si>
  <si>
    <t>Elementos para el Plan de Gestión Ambiental</t>
  </si>
  <si>
    <t>A-03-03-01-001    A-02-02-01-003-006</t>
  </si>
  <si>
    <t>Oficina Asesora de Comunicaciones</t>
  </si>
  <si>
    <t>Adquisición de Servicios editoriales, de impresión, publicación, y en general, producción de material de identidad visual, comunicativo y divulgativo que requiere la Agencia para la Reincorporación y la Normalización –ARN, en cumplimiento de su objeto misional. Contrato 1114 de 2020</t>
  </si>
  <si>
    <t>10</t>
  </si>
  <si>
    <t>Imprenta (Impresos y publicaciones)</t>
  </si>
  <si>
    <t>Mauricio Forero</t>
  </si>
  <si>
    <t>82101500
82101900
82101600
82111900
83121700
82131600
82141500
83121700</t>
  </si>
  <si>
    <t>Adquisición de servicios de agencia de comunicaciones  para la colocación de contenidos estratégicos en canales tradicionales y no tradicionales, incluyendo la preproducción, producción, posproducción de contenidos audiovisuales que requiera la Agencia para la Reincorporación y la Normalización (ARN) en cumplimiento de su objeto misional.</t>
  </si>
  <si>
    <t>9</t>
  </si>
  <si>
    <t>Central de medios y monitoreo de medios</t>
  </si>
  <si>
    <t>Adquisición de servicios de seguimiento a los contenidos publicados en medios de comunicaicón relacionados con las políticas desarrolladas por la Agencia para la Reincorporación y la Normalización-ARN,</t>
  </si>
  <si>
    <t>7</t>
  </si>
  <si>
    <t>78111800
80111600
80141900
82112000
90111600
90101600</t>
  </si>
  <si>
    <t xml:space="preserve">Estrategia de apropiación de la política en lo territorial </t>
  </si>
  <si>
    <t>Oficina Asesora Jurídica</t>
  </si>
  <si>
    <t>Suscripción gestor de actualización normativa de apoyo a la gestión de la Entidad</t>
  </si>
  <si>
    <t>Suscripción actualización normativa</t>
  </si>
  <si>
    <t>JAVIER AUGUSTO SARMIENTO OLARTE</t>
  </si>
  <si>
    <t>Bogotá D.C.</t>
  </si>
  <si>
    <t>4430020
Ext 10600</t>
  </si>
  <si>
    <t>Apoyo logístico misional  -Primera Jornada de Díalogos Jurídicos " Régimenes Transicionales de Justicia y el contexto de la Reincorporación"-</t>
  </si>
  <si>
    <t>Contratar los servicios profesionales para brindar apoyo en cada una de las fases de la consulta previa con el pueblo Yukpa, que se debe realizar en cumplimiento de la Sentencia T 713 de 2017 proferida por la Corte Constitucional.</t>
  </si>
  <si>
    <t>Servicios profesionales consulta previa con el pueblo Yukpa</t>
  </si>
  <si>
    <t>Grupo de Corresponsabilidad</t>
  </si>
  <si>
    <t>80141900 90111600
78111800 
80111600 
90101600</t>
  </si>
  <si>
    <t xml:space="preserve">1. Participación de la ARN en espacios de encuentro (foros, seminarios, conversatorios, etc). OPERADOR LOGISTICO
2.  Espacios de Deliberación (OPERADOR LOGÍSTICO)
</t>
  </si>
  <si>
    <t>1. A-03-03-01-001
2. OJO Para el punto 2 cambia el Rubro</t>
  </si>
  <si>
    <t xml:space="preserve">El contrato sale de la subdireccion administrativa </t>
  </si>
  <si>
    <t>Gupo de gestion contractual</t>
  </si>
  <si>
    <t xml:space="preserve">Bogota </t>
  </si>
  <si>
    <r>
      <t xml:space="preserve">Aunar esfuerzos para la implementación y seguimiento a las acciones comunitarias con enfoque de género y derechos de las mujeres para fortalecer la ciudadanía activa, la participación en escenarios de construcción de paz y la promoción de los derechos sexuales y los derechos reproductivos de las mujeres de la comunidad y exintegrantes de las FARC-EP, de conformidad con el anexo de especificaciones mínimas y la política nacional de reincorporación.  
</t>
    </r>
    <r>
      <rPr>
        <b/>
        <sz val="11"/>
        <color theme="1"/>
        <rFont val="Arial"/>
        <family val="2"/>
      </rPr>
      <t xml:space="preserve">(Convenio de Cooperación Internacional British) </t>
    </r>
  </si>
  <si>
    <r>
      <t>Suministro tiquetes aéreos</t>
    </r>
    <r>
      <rPr>
        <b/>
        <sz val="11"/>
        <color theme="1"/>
        <rFont val="Arial"/>
        <family val="2"/>
      </rPr>
      <t xml:space="preserve"> Vigencia para 2021 y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</si>
</sst>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_-;\-&quot;$&quot;\ * #,##0_-;_-&quot;$&quot;\ * &quot;-&quot;_-;_-@_-"/>
    <numFmt numFmtId="165" formatCode="_-* #,##0_-;\-* #,##0_-;_-* &quot;-&quot;_-;_-@_-"/>
    <numFmt numFmtId="166" formatCode="&quot;$&quot;\ #,##0"/>
    <numFmt numFmtId="167" formatCode="&quot;$&quot;\ #,##0;[Red]\-&quot;$&quot;\ #,##0"/>
    <numFmt numFmtId="169" formatCode="mmm\-\ yyyy;@"/>
    <numFmt numFmtId="170" formatCode="_-&quot;$&quot;\ * #,##0.00_-;\-&quot;$&quot;\ * #,##0.00_-;_-&quot;$&quot;\ * &quot;-&quot;??_-;_-@_-"/>
    <numFmt numFmtId="171" formatCode="0.0"/>
    <numFmt numFmtId="172" formatCode="[$-F800]dddd\,\ mmmm\ dd\,\ yyyy"/>
  </numFmts>
  <fonts count="16" x14ac:knownFonts="1">
    <font>
      <sz val="10"/>
      <color theme="1"/>
      <name val="Arial"/>
      <family val="2"/>
    </font>
    <font>
      <sz val="11"/>
      <color theme="1"/>
      <name val="Calibri"/>
      <family val="2"/>
      <scheme val="minor"/>
    </font>
    <font>
      <sz val="11"/>
      <color rgb="FF006100"/>
      <name val="Calibri"/>
      <family val="2"/>
      <scheme val="minor"/>
    </font>
    <font>
      <sz val="10"/>
      <color theme="1"/>
      <name val="Arial"/>
      <family val="2"/>
    </font>
    <font>
      <b/>
      <sz val="14"/>
      <color theme="1"/>
      <name val="Verdana"/>
      <family val="2"/>
    </font>
    <font>
      <b/>
      <sz val="12"/>
      <color theme="1"/>
      <name val="Arial"/>
      <family val="2"/>
    </font>
    <font>
      <sz val="10"/>
      <color theme="1"/>
      <name val="Verdana"/>
      <family val="2"/>
    </font>
    <font>
      <b/>
      <sz val="11"/>
      <color theme="1"/>
      <name val="Arial"/>
      <family val="2"/>
    </font>
    <font>
      <b/>
      <sz val="10"/>
      <color theme="1"/>
      <name val="Verdana"/>
      <family val="2"/>
    </font>
    <font>
      <sz val="11"/>
      <color theme="1"/>
      <name val="Arial"/>
      <family val="2"/>
    </font>
    <font>
      <sz val="10"/>
      <color theme="1"/>
      <name val="Calibri"/>
      <family val="2"/>
      <scheme val="minor"/>
    </font>
    <font>
      <u/>
      <sz val="10"/>
      <color theme="10"/>
      <name val="Arial"/>
      <family val="2"/>
    </font>
    <font>
      <u/>
      <sz val="11"/>
      <color theme="1"/>
      <name val="Arial"/>
      <family val="2"/>
    </font>
    <font>
      <sz val="11"/>
      <color rgb="FF1F497D"/>
      <name val="Calibri"/>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808080"/>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bgColor indexed="64"/>
      </patternFill>
    </fill>
    <fill>
      <patternFill patternType="solid">
        <fgColor theme="0"/>
        <bgColor rgb="FF000000"/>
      </patternFill>
    </fill>
    <fill>
      <patternFill patternType="solid">
        <fgColor indexed="65"/>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s>
  <cellStyleXfs count="13">
    <xf numFmtId="0" fontId="0" fillId="0" borderId="0"/>
    <xf numFmtId="165"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0" fontId="2" fillId="2" borderId="0" applyNumberFormat="0" applyBorder="0" applyAlignment="0" applyProtection="0"/>
    <xf numFmtId="0" fontId="11" fillId="0" borderId="0" applyNumberFormat="0" applyFill="0" applyBorder="0" applyAlignment="0" applyProtection="0"/>
    <xf numFmtId="0" fontId="4" fillId="4" borderId="1" applyNumberFormat="0" applyProtection="0">
      <alignment horizontal="left" vertical="center"/>
    </xf>
    <xf numFmtId="49" fontId="6" fillId="0" borderId="0" applyFill="0" applyBorder="0" applyProtection="0">
      <alignment horizontal="left" vertical="center"/>
    </xf>
    <xf numFmtId="0" fontId="8" fillId="6" borderId="0" applyNumberFormat="0" applyBorder="0" applyProtection="0">
      <alignment horizontal="center" vertical="center"/>
    </xf>
    <xf numFmtId="0" fontId="1" fillId="0" borderId="0"/>
    <xf numFmtId="0" fontId="1" fillId="0" borderId="0"/>
    <xf numFmtId="0" fontId="11" fillId="0" borderId="0" applyNumberFormat="0" applyFill="0" applyBorder="0" applyAlignment="0" applyProtection="0"/>
    <xf numFmtId="165" fontId="3" fillId="0" borderId="0" applyFont="0" applyFill="0" applyBorder="0" applyAlignment="0" applyProtection="0"/>
  </cellStyleXfs>
  <cellXfs count="125">
    <xf numFmtId="0" fontId="0" fillId="0" borderId="0" xfId="0"/>
    <xf numFmtId="0" fontId="0" fillId="3" borderId="0" xfId="0"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vertical="center"/>
      <protection locked="0"/>
    </xf>
    <xf numFmtId="164" fontId="0" fillId="3" borderId="0" xfId="3" applyFont="1" applyFill="1" applyAlignment="1" applyProtection="1">
      <alignment vertical="center"/>
      <protection locked="0"/>
    </xf>
    <xf numFmtId="0" fontId="0" fillId="3" borderId="0" xfId="0" applyFill="1" applyAlignment="1" applyProtection="1">
      <alignment vertical="center"/>
    </xf>
    <xf numFmtId="0" fontId="0" fillId="3" borderId="0" xfId="0" applyFill="1" applyAlignment="1">
      <alignment vertical="center"/>
    </xf>
    <xf numFmtId="0" fontId="4" fillId="3" borderId="0" xfId="6" applyFill="1" applyBorder="1" applyAlignment="1" applyProtection="1">
      <alignment horizontal="left" vertical="center"/>
    </xf>
    <xf numFmtId="0" fontId="5"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49" fontId="7" fillId="5" borderId="2" xfId="7" applyFont="1" applyFill="1" applyBorder="1" applyAlignment="1" applyProtection="1">
      <alignment horizontal="center" vertical="center" wrapText="1"/>
      <protection locked="0"/>
    </xf>
    <xf numFmtId="49" fontId="7" fillId="5" borderId="3" xfId="7" applyFont="1" applyFill="1" applyBorder="1" applyAlignment="1" applyProtection="1">
      <alignment horizontal="center" vertical="center" wrapText="1"/>
      <protection locked="0"/>
    </xf>
    <xf numFmtId="0" fontId="7" fillId="5" borderId="3" xfId="8" applyFont="1" applyFill="1" applyBorder="1" applyAlignment="1" applyProtection="1">
      <alignment horizontal="center" vertical="center" wrapText="1"/>
    </xf>
    <xf numFmtId="164" fontId="7" fillId="5" borderId="3" xfId="3" applyFont="1" applyFill="1" applyBorder="1" applyAlignment="1" applyProtection="1">
      <alignment horizontal="center" vertical="center" wrapText="1"/>
      <protection locked="0"/>
    </xf>
    <xf numFmtId="49" fontId="7" fillId="5" borderId="3" xfId="7" applyFont="1" applyFill="1" applyBorder="1" applyAlignment="1" applyProtection="1">
      <alignment horizontal="center" vertical="center"/>
      <protection locked="0"/>
    </xf>
    <xf numFmtId="49" fontId="7" fillId="5" borderId="3" xfId="7" applyFont="1" applyFill="1" applyBorder="1" applyAlignment="1" applyProtection="1">
      <alignment horizontal="center" vertical="center" wrapText="1"/>
    </xf>
    <xf numFmtId="0" fontId="0" fillId="0" borderId="0" xfId="0" applyAlignment="1">
      <alignment vertical="center"/>
    </xf>
    <xf numFmtId="49" fontId="9" fillId="3" borderId="4" xfId="7" applyFont="1" applyFill="1" applyBorder="1" applyAlignment="1" applyProtection="1">
      <alignment horizontal="center" vertical="center" wrapText="1"/>
      <protection locked="0"/>
    </xf>
    <xf numFmtId="0" fontId="9" fillId="3" borderId="1" xfId="9" applyFont="1" applyFill="1" applyBorder="1" applyAlignment="1">
      <alignment horizontal="center" vertical="center" wrapText="1"/>
    </xf>
    <xf numFmtId="0" fontId="9" fillId="8" borderId="1" xfId="9" applyFont="1" applyFill="1" applyBorder="1" applyAlignment="1">
      <alignment vertical="center" wrapText="1"/>
    </xf>
    <xf numFmtId="14" fontId="10" fillId="8" borderId="1" xfId="9" applyNumberFormat="1" applyFont="1" applyFill="1" applyBorder="1" applyAlignment="1">
      <alignment horizontal="center" vertical="center" wrapText="1"/>
    </xf>
    <xf numFmtId="17" fontId="9" fillId="8" borderId="1" xfId="9" applyNumberFormat="1" applyFont="1" applyFill="1" applyBorder="1" applyAlignment="1">
      <alignment horizontal="center" vertical="center" wrapText="1"/>
    </xf>
    <xf numFmtId="166" fontId="9" fillId="8" borderId="1" xfId="1" applyNumberFormat="1" applyFont="1" applyFill="1" applyBorder="1" applyAlignment="1">
      <alignment horizontal="center" vertical="center" wrapText="1"/>
    </xf>
    <xf numFmtId="0" fontId="9" fillId="8" borderId="1" xfId="9" applyFont="1" applyFill="1" applyBorder="1" applyAlignment="1">
      <alignment horizontal="center" vertical="center" wrapText="1"/>
    </xf>
    <xf numFmtId="0" fontId="9" fillId="3" borderId="1" xfId="0" applyFont="1" applyFill="1" applyBorder="1" applyAlignment="1">
      <alignment horizontal="justify" vertical="center" wrapText="1"/>
    </xf>
    <xf numFmtId="164" fontId="9" fillId="3" borderId="1" xfId="3" applyFont="1" applyFill="1" applyBorder="1" applyAlignment="1" applyProtection="1">
      <alignment horizontal="center" vertical="center" wrapText="1"/>
      <protection locked="0"/>
    </xf>
    <xf numFmtId="164" fontId="9" fillId="8" borderId="1" xfId="3" applyFont="1" applyFill="1" applyBorder="1" applyAlignment="1">
      <alignment horizontal="center" vertical="center" wrapText="1"/>
    </xf>
    <xf numFmtId="167" fontId="9" fillId="8" borderId="1" xfId="3" applyNumberFormat="1" applyFont="1" applyFill="1" applyBorder="1" applyAlignment="1">
      <alignment horizontal="center" vertical="center" wrapText="1"/>
    </xf>
    <xf numFmtId="49" fontId="9" fillId="3" borderId="1" xfId="7" applyFont="1" applyFill="1" applyBorder="1" applyAlignment="1" applyProtection="1">
      <alignment horizontal="center" vertical="center" wrapText="1"/>
      <protection locked="0"/>
    </xf>
    <xf numFmtId="1" fontId="9" fillId="3" borderId="1" xfId="7" applyNumberFormat="1" applyFont="1" applyFill="1" applyBorder="1" applyAlignment="1" applyProtection="1">
      <alignment horizontal="center" vertical="center" wrapText="1"/>
      <protection locked="0"/>
    </xf>
    <xf numFmtId="49" fontId="12" fillId="3" borderId="1" xfId="5" applyNumberFormat="1" applyFont="1" applyFill="1" applyBorder="1" applyAlignment="1" applyProtection="1">
      <alignment horizontal="left" vertical="center" wrapText="1"/>
    </xf>
    <xf numFmtId="49" fontId="9" fillId="3" borderId="1" xfId="7" applyFont="1" applyFill="1" applyBorder="1" applyAlignment="1" applyProtection="1">
      <alignment horizontal="center" vertical="center" wrapText="1"/>
    </xf>
    <xf numFmtId="3" fontId="9" fillId="3" borderId="1" xfId="7" applyNumberFormat="1" applyFont="1" applyFill="1" applyBorder="1" applyAlignment="1" applyProtection="1">
      <alignment horizontal="center" vertical="center" wrapText="1"/>
      <protection locked="0"/>
    </xf>
    <xf numFmtId="14" fontId="9" fillId="8" borderId="1" xfId="9" applyNumberFormat="1" applyFont="1" applyFill="1" applyBorder="1" applyAlignment="1">
      <alignment vertical="center" wrapText="1"/>
    </xf>
    <xf numFmtId="0" fontId="9" fillId="3" borderId="1" xfId="0" applyNumberFormat="1" applyFont="1" applyFill="1" applyBorder="1" applyAlignment="1">
      <alignment horizontal="center" vertical="center" wrapText="1" readingOrder="1"/>
    </xf>
    <xf numFmtId="0" fontId="9" fillId="3" borderId="1" xfId="7" applyNumberFormat="1" applyFont="1" applyFill="1" applyBorder="1" applyAlignment="1" applyProtection="1">
      <alignment horizontal="center" vertical="center" wrapText="1"/>
      <protection locked="0"/>
    </xf>
    <xf numFmtId="0" fontId="9" fillId="8" borderId="1" xfId="9" applyFont="1" applyFill="1" applyBorder="1" applyAlignment="1">
      <alignment horizontal="justify" vertical="center" wrapText="1"/>
    </xf>
    <xf numFmtId="0" fontId="9" fillId="3" borderId="1" xfId="0" applyFont="1" applyFill="1" applyBorder="1" applyAlignment="1">
      <alignment horizontal="center" vertical="center" wrapText="1"/>
    </xf>
    <xf numFmtId="164" fontId="9" fillId="3" borderId="1" xfId="3" applyNumberFormat="1" applyFont="1" applyFill="1" applyBorder="1" applyAlignment="1" applyProtection="1">
      <alignment horizontal="center" vertical="center" wrapText="1"/>
      <protection locked="0"/>
    </xf>
    <xf numFmtId="49" fontId="12" fillId="3" borderId="1" xfId="5" applyNumberFormat="1" applyFont="1" applyFill="1" applyBorder="1" applyAlignment="1" applyProtection="1">
      <alignment horizontal="left" vertical="center"/>
    </xf>
    <xf numFmtId="166" fontId="9" fillId="8" borderId="1" xfId="1" applyNumberFormat="1" applyFont="1" applyFill="1" applyBorder="1" applyAlignment="1" applyProtection="1">
      <alignment horizontal="center" vertical="center" wrapText="1"/>
      <protection locked="0"/>
    </xf>
    <xf numFmtId="166" fontId="9" fillId="3" borderId="1" xfId="7" applyNumberFormat="1" applyFont="1" applyFill="1" applyBorder="1" applyAlignment="1" applyProtection="1">
      <alignment horizontal="center" vertical="center" wrapText="1"/>
      <protection locked="0"/>
    </xf>
    <xf numFmtId="0" fontId="7" fillId="8" borderId="1" xfId="9" applyFont="1" applyFill="1" applyBorder="1" applyAlignment="1">
      <alignment vertical="center" wrapText="1"/>
    </xf>
    <xf numFmtId="0" fontId="9" fillId="8" borderId="1" xfId="9" applyFont="1" applyFill="1" applyBorder="1" applyAlignment="1">
      <alignment horizontal="center" vertical="center"/>
    </xf>
    <xf numFmtId="166" fontId="7" fillId="3" borderId="1" xfId="7" applyNumberFormat="1" applyFont="1" applyFill="1" applyBorder="1" applyAlignment="1" applyProtection="1">
      <alignment horizontal="center" vertical="center" wrapText="1"/>
      <protection locked="0"/>
    </xf>
    <xf numFmtId="49" fontId="9" fillId="3" borderId="1" xfId="7" applyNumberFormat="1" applyFont="1" applyFill="1" applyBorder="1" applyAlignment="1">
      <alignment horizontal="center" vertical="center" wrapText="1"/>
    </xf>
    <xf numFmtId="0" fontId="9" fillId="3" borderId="1" xfId="7" applyNumberFormat="1" applyFont="1" applyFill="1" applyBorder="1" applyAlignment="1" applyProtection="1">
      <alignment horizontal="center" vertical="center"/>
      <protection locked="0"/>
    </xf>
    <xf numFmtId="166" fontId="9" fillId="3" borderId="1" xfId="7" applyNumberFormat="1" applyFont="1" applyFill="1" applyBorder="1" applyAlignment="1">
      <alignment horizontal="center" vertical="center" wrapText="1"/>
    </xf>
    <xf numFmtId="0" fontId="9" fillId="3" borderId="1" xfId="9" applyFont="1" applyFill="1" applyBorder="1" applyAlignment="1">
      <alignment vertical="center" wrapText="1"/>
    </xf>
    <xf numFmtId="169" fontId="9" fillId="8" borderId="1" xfId="9" applyNumberFormat="1" applyFont="1" applyFill="1" applyBorder="1" applyAlignment="1">
      <alignment horizontal="center" vertical="center" wrapText="1"/>
    </xf>
    <xf numFmtId="0" fontId="9" fillId="3" borderId="1" xfId="0" applyFont="1" applyFill="1" applyBorder="1" applyAlignment="1">
      <alignment vertical="center" wrapText="1"/>
    </xf>
    <xf numFmtId="0" fontId="0" fillId="0" borderId="0" xfId="0" applyFill="1" applyAlignment="1">
      <alignment vertical="center"/>
    </xf>
    <xf numFmtId="169" fontId="9" fillId="3" borderId="1" xfId="9" applyNumberFormat="1" applyFont="1" applyFill="1" applyBorder="1" applyAlignment="1">
      <alignment horizontal="center" vertical="center" wrapText="1"/>
    </xf>
    <xf numFmtId="164" fontId="7" fillId="3" borderId="1" xfId="3" applyFont="1" applyFill="1" applyBorder="1" applyAlignment="1" applyProtection="1">
      <alignment horizontal="center" vertical="center" wrapText="1"/>
      <protection locked="0"/>
    </xf>
    <xf numFmtId="164" fontId="9" fillId="3" borderId="1" xfId="3" applyNumberFormat="1" applyFont="1" applyFill="1" applyBorder="1" applyAlignment="1">
      <alignment horizontal="center" vertical="center" wrapText="1"/>
    </xf>
    <xf numFmtId="166" fontId="9" fillId="3" borderId="1" xfId="3" applyNumberFormat="1" applyFont="1" applyFill="1" applyBorder="1" applyAlignment="1" applyProtection="1">
      <alignment horizontal="center" vertical="center" wrapText="1"/>
      <protection locked="0"/>
    </xf>
    <xf numFmtId="0" fontId="0" fillId="7" borderId="0" xfId="0" applyFill="1" applyBorder="1" applyAlignment="1">
      <alignment vertical="center"/>
    </xf>
    <xf numFmtId="1" fontId="9" fillId="3" borderId="1" xfId="0" applyNumberFormat="1" applyFont="1" applyFill="1" applyBorder="1" applyAlignment="1">
      <alignment horizontal="center" vertical="center" wrapText="1" readingOrder="1"/>
    </xf>
    <xf numFmtId="0" fontId="9" fillId="3" borderId="1" xfId="0" applyNumberFormat="1" applyFont="1" applyFill="1" applyBorder="1" applyAlignment="1">
      <alignment horizontal="left" vertical="center" wrapText="1" readingOrder="1"/>
    </xf>
    <xf numFmtId="164" fontId="9" fillId="3" borderId="1" xfId="3"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vertical="center"/>
    </xf>
    <xf numFmtId="165" fontId="9" fillId="3" borderId="1" xfId="0" applyNumberFormat="1" applyFont="1" applyFill="1" applyBorder="1" applyAlignment="1">
      <alignment vertical="center"/>
    </xf>
    <xf numFmtId="0" fontId="12" fillId="3" borderId="1" xfId="5" applyFont="1" applyFill="1" applyBorder="1" applyAlignment="1" applyProtection="1">
      <alignment vertical="center"/>
    </xf>
    <xf numFmtId="0" fontId="9" fillId="3" borderId="1" xfId="0" applyFont="1" applyFill="1" applyBorder="1" applyAlignment="1">
      <alignment horizontal="center"/>
    </xf>
    <xf numFmtId="170" fontId="9" fillId="3" borderId="1" xfId="2"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8" borderId="1" xfId="1" applyNumberFormat="1" applyFont="1" applyFill="1" applyBorder="1" applyAlignment="1">
      <alignment horizontal="center" vertical="center" wrapText="1"/>
    </xf>
    <xf numFmtId="49" fontId="12" fillId="3" borderId="1" xfId="5" applyNumberFormat="1" applyFont="1" applyFill="1" applyBorder="1" applyAlignment="1" applyProtection="1">
      <alignment horizontal="center" vertical="center"/>
    </xf>
    <xf numFmtId="17" fontId="9" fillId="8" borderId="1" xfId="9" applyNumberFormat="1" applyFont="1" applyFill="1" applyBorder="1" applyAlignment="1" applyProtection="1">
      <alignment horizontal="center" vertical="center" wrapText="1"/>
    </xf>
    <xf numFmtId="0" fontId="9" fillId="3" borderId="1" xfId="0" applyNumberFormat="1" applyFont="1" applyFill="1" applyBorder="1" applyAlignment="1">
      <alignment horizontal="center" vertical="center"/>
    </xf>
    <xf numFmtId="0" fontId="9" fillId="8" borderId="1" xfId="10" applyFont="1" applyFill="1" applyBorder="1" applyAlignment="1">
      <alignment horizontal="center" vertical="center" wrapText="1"/>
    </xf>
    <xf numFmtId="0" fontId="9" fillId="8" borderId="1" xfId="10" applyFont="1" applyFill="1" applyBorder="1" applyAlignment="1">
      <alignment vertical="center" wrapText="1"/>
    </xf>
    <xf numFmtId="14" fontId="9" fillId="8" borderId="1" xfId="10" applyNumberFormat="1" applyFont="1" applyFill="1" applyBorder="1" applyAlignment="1">
      <alignment vertical="center" wrapText="1"/>
    </xf>
    <xf numFmtId="0" fontId="9" fillId="8" borderId="1" xfId="10" applyFont="1" applyFill="1" applyBorder="1" applyAlignment="1">
      <alignment horizontal="left" vertical="center" wrapText="1"/>
    </xf>
    <xf numFmtId="0" fontId="9" fillId="3" borderId="1" xfId="10" applyFont="1" applyFill="1" applyBorder="1" applyAlignment="1">
      <alignment horizontal="center" vertical="center" wrapText="1"/>
    </xf>
    <xf numFmtId="49" fontId="12" fillId="3" borderId="1" xfId="11" applyNumberFormat="1" applyFont="1" applyFill="1" applyBorder="1" applyAlignment="1" applyProtection="1">
      <alignment horizontal="left" vertical="center"/>
    </xf>
    <xf numFmtId="0" fontId="9" fillId="3" borderId="1" xfId="10" applyFont="1" applyFill="1" applyBorder="1" applyAlignment="1">
      <alignment horizontal="center" vertical="center"/>
    </xf>
    <xf numFmtId="17" fontId="9" fillId="8" borderId="1" xfId="10" applyNumberFormat="1" applyFont="1" applyFill="1" applyBorder="1" applyAlignment="1">
      <alignment horizontal="center" vertical="center" wrapText="1"/>
    </xf>
    <xf numFmtId="171" fontId="9" fillId="3" borderId="1" xfId="7" applyNumberFormat="1" applyFont="1" applyFill="1" applyBorder="1" applyAlignment="1" applyProtection="1">
      <alignment horizontal="center" vertical="center" wrapText="1"/>
      <protection locked="0"/>
    </xf>
    <xf numFmtId="0" fontId="9" fillId="3" borderId="1" xfId="10" applyFont="1" applyFill="1" applyBorder="1" applyAlignment="1">
      <alignment vertical="center" wrapText="1"/>
    </xf>
    <xf numFmtId="0" fontId="9" fillId="3" borderId="1" xfId="10" applyFont="1" applyFill="1" applyBorder="1" applyAlignment="1">
      <alignment horizontal="left" vertical="center" wrapText="1"/>
    </xf>
    <xf numFmtId="17" fontId="9" fillId="3" borderId="1" xfId="10" applyNumberFormat="1" applyFont="1" applyFill="1" applyBorder="1" applyAlignment="1">
      <alignment horizontal="center" vertical="center" wrapText="1"/>
    </xf>
    <xf numFmtId="166" fontId="9" fillId="8" borderId="1" xfId="12" applyNumberFormat="1" applyFont="1" applyFill="1" applyBorder="1" applyAlignment="1">
      <alignment horizontal="center" vertical="center" wrapText="1"/>
    </xf>
    <xf numFmtId="0" fontId="9" fillId="3" borderId="1" xfId="7" applyNumberFormat="1" applyFont="1" applyFill="1" applyBorder="1" applyAlignment="1" applyProtection="1">
      <alignment horizontal="centerContinuous" vertical="center"/>
      <protection locked="0"/>
    </xf>
    <xf numFmtId="49" fontId="9" fillId="3" borderId="1" xfId="7" applyFont="1" applyFill="1" applyBorder="1" applyAlignment="1" applyProtection="1">
      <alignment horizontal="center" vertical="center"/>
      <protection locked="0"/>
    </xf>
    <xf numFmtId="0" fontId="3" fillId="3" borderId="0" xfId="0" applyFont="1" applyFill="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164" fontId="3" fillId="0" borderId="0" xfId="3" applyFont="1" applyAlignment="1" applyProtection="1">
      <alignment vertical="center"/>
      <protection locked="0"/>
    </xf>
    <xf numFmtId="166" fontId="3" fillId="0" borderId="0" xfId="0" applyNumberFormat="1" applyFont="1" applyAlignment="1" applyProtection="1">
      <alignment vertical="center"/>
      <protection locked="0"/>
    </xf>
    <xf numFmtId="0" fontId="3" fillId="3" borderId="0" xfId="0" applyFont="1" applyFill="1" applyAlignment="1" applyProtection="1">
      <alignment vertical="center"/>
    </xf>
    <xf numFmtId="0" fontId="0" fillId="0" borderId="0" xfId="0" applyFont="1" applyAlignment="1" applyProtection="1">
      <alignment vertical="center" wrapText="1"/>
      <protection locked="0"/>
    </xf>
    <xf numFmtId="0" fontId="13" fillId="0" borderId="0" xfId="0" applyFont="1" applyAlignment="1">
      <alignment horizontal="left" vertical="center" indent="1"/>
    </xf>
    <xf numFmtId="164" fontId="3" fillId="0" borderId="0" xfId="0" applyNumberFormat="1" applyFont="1" applyAlignment="1" applyProtection="1">
      <alignment horizontal="center" vertical="center"/>
      <protection locked="0"/>
    </xf>
    <xf numFmtId="164" fontId="3" fillId="0" borderId="0" xfId="0" applyNumberFormat="1" applyFont="1" applyAlignment="1" applyProtection="1">
      <alignment vertical="center"/>
      <protection locked="0"/>
    </xf>
    <xf numFmtId="165" fontId="10" fillId="9" borderId="7" xfId="1" applyFont="1" applyFill="1" applyBorder="1"/>
    <xf numFmtId="165" fontId="3" fillId="0" borderId="0" xfId="0" applyNumberFormat="1"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64" fontId="0" fillId="0" borderId="0" xfId="3" applyFont="1" applyAlignment="1" applyProtection="1">
      <alignment vertical="center"/>
      <protection locked="0"/>
    </xf>
    <xf numFmtId="14" fontId="9" fillId="8" borderId="1" xfId="9" applyNumberFormat="1" applyFont="1" applyFill="1" applyBorder="1" applyAlignment="1">
      <alignment horizontal="center" vertical="center" wrapText="1"/>
    </xf>
    <xf numFmtId="0" fontId="9" fillId="8" borderId="1" xfId="9" applyNumberFormat="1" applyFont="1" applyFill="1" applyBorder="1" applyAlignment="1">
      <alignment vertical="center" wrapText="1"/>
    </xf>
    <xf numFmtId="164" fontId="7" fillId="3" borderId="1" xfId="3" applyFont="1" applyFill="1" applyBorder="1" applyAlignment="1">
      <alignment horizontal="center" vertical="center" wrapText="1"/>
    </xf>
    <xf numFmtId="0" fontId="9" fillId="3" borderId="1" xfId="8" applyFont="1" applyFill="1" applyBorder="1" applyAlignment="1" applyProtection="1">
      <alignment horizontal="left" vertical="center" wrapText="1"/>
    </xf>
    <xf numFmtId="1" fontId="9" fillId="8" borderId="1" xfId="9" applyNumberFormat="1" applyFont="1" applyFill="1" applyBorder="1" applyAlignment="1">
      <alignment horizontal="center" vertical="center" wrapText="1"/>
    </xf>
    <xf numFmtId="0" fontId="9" fillId="3" borderId="1" xfId="4" applyFont="1" applyFill="1" applyBorder="1" applyAlignment="1">
      <alignment vertical="center"/>
    </xf>
    <xf numFmtId="49" fontId="9" fillId="3" borderId="1" xfId="7" applyFont="1" applyFill="1" applyBorder="1" applyAlignment="1" applyProtection="1">
      <alignment horizontal="left" vertical="center" wrapText="1"/>
      <protection locked="0"/>
    </xf>
    <xf numFmtId="164" fontId="9" fillId="3" borderId="1" xfId="3" applyFont="1" applyFill="1" applyBorder="1" applyAlignment="1">
      <alignment horizontal="center" vertical="center"/>
    </xf>
    <xf numFmtId="167" fontId="9" fillId="3" borderId="1" xfId="3" applyNumberFormat="1" applyFont="1" applyFill="1" applyBorder="1" applyAlignment="1">
      <alignment horizontal="center" vertical="center" wrapText="1"/>
    </xf>
    <xf numFmtId="167" fontId="9" fillId="3" borderId="1" xfId="3" applyNumberFormat="1" applyFont="1" applyFill="1" applyBorder="1" applyAlignment="1" applyProtection="1">
      <alignment horizontal="center" vertical="center" wrapText="1"/>
      <protection locked="0"/>
    </xf>
    <xf numFmtId="3" fontId="9" fillId="3" borderId="1" xfId="7" applyNumberFormat="1" applyFont="1" applyFill="1" applyBorder="1" applyAlignment="1" applyProtection="1">
      <alignment horizontal="right" vertical="center" wrapText="1"/>
      <protection locked="0"/>
    </xf>
    <xf numFmtId="172" fontId="10" fillId="8" borderId="1" xfId="9" applyNumberFormat="1" applyFont="1" applyFill="1" applyBorder="1" applyAlignment="1">
      <alignment horizontal="center" vertical="center" wrapText="1"/>
    </xf>
    <xf numFmtId="49" fontId="9" fillId="3" borderId="5" xfId="7" applyFont="1" applyFill="1" applyBorder="1" applyAlignment="1" applyProtection="1">
      <alignment horizontal="center" vertical="center" wrapText="1"/>
      <protection locked="0"/>
    </xf>
    <xf numFmtId="0" fontId="9" fillId="8" borderId="6" xfId="9" applyFont="1" applyFill="1" applyBorder="1" applyAlignment="1">
      <alignment horizontal="center" wrapText="1"/>
    </xf>
    <xf numFmtId="0" fontId="9" fillId="8" borderId="6" xfId="9" applyFont="1" applyFill="1" applyBorder="1" applyAlignment="1">
      <alignment vertical="center" wrapText="1"/>
    </xf>
    <xf numFmtId="14" fontId="10" fillId="8" borderId="6" xfId="9" applyNumberFormat="1" applyFont="1" applyFill="1" applyBorder="1" applyAlignment="1">
      <alignment horizontal="center" vertical="center" wrapText="1"/>
    </xf>
    <xf numFmtId="0" fontId="9" fillId="3" borderId="6" xfId="0" applyNumberFormat="1" applyFont="1" applyFill="1" applyBorder="1" applyAlignment="1">
      <alignment horizontal="center" vertical="center" wrapText="1" readingOrder="1"/>
    </xf>
    <xf numFmtId="0" fontId="9" fillId="3" borderId="6" xfId="7" applyNumberFormat="1" applyFont="1" applyFill="1" applyBorder="1" applyAlignment="1" applyProtection="1">
      <alignment horizontal="center" vertical="center" wrapText="1"/>
      <protection locked="0"/>
    </xf>
    <xf numFmtId="49" fontId="9" fillId="3" borderId="6" xfId="7" applyFont="1" applyFill="1" applyBorder="1" applyAlignment="1" applyProtection="1">
      <alignment horizontal="center" vertical="center" wrapText="1"/>
      <protection locked="0"/>
    </xf>
    <xf numFmtId="0" fontId="9" fillId="8" borderId="6" xfId="9" applyFont="1" applyFill="1" applyBorder="1" applyAlignment="1">
      <alignment horizontal="center" vertical="center" wrapText="1"/>
    </xf>
    <xf numFmtId="166" fontId="9" fillId="3" borderId="6" xfId="7" applyNumberFormat="1" applyFont="1" applyFill="1" applyBorder="1" applyAlignment="1" applyProtection="1">
      <alignment horizontal="center" vertical="center" wrapText="1"/>
      <protection locked="0"/>
    </xf>
    <xf numFmtId="164" fontId="9" fillId="3" borderId="6" xfId="3" applyFont="1" applyFill="1" applyBorder="1" applyAlignment="1" applyProtection="1">
      <alignment horizontal="center" vertical="center" wrapText="1"/>
      <protection locked="0"/>
    </xf>
    <xf numFmtId="1" fontId="9" fillId="3" borderId="6" xfId="7" applyNumberFormat="1" applyFont="1" applyFill="1" applyBorder="1" applyAlignment="1" applyProtection="1">
      <alignment horizontal="center" vertical="center" wrapText="1"/>
      <protection locked="0"/>
    </xf>
    <xf numFmtId="49" fontId="12" fillId="3" borderId="6" xfId="5" applyNumberFormat="1" applyFont="1" applyFill="1" applyBorder="1" applyAlignment="1" applyProtection="1">
      <alignment horizontal="left" vertical="center"/>
    </xf>
  </cellXfs>
  <cellStyles count="13">
    <cellStyle name="BodyStyle" xfId="7" xr:uid="{C59CB09E-0B46-462F-83A7-1A7BDF5FDABD}"/>
    <cellStyle name="Bueno" xfId="4" builtinId="26"/>
    <cellStyle name="HeaderStyle" xfId="8" xr:uid="{77D20A1A-A494-476C-917D-51CE8BDB9131}"/>
    <cellStyle name="Hipervínculo" xfId="5" builtinId="8"/>
    <cellStyle name="Hipervínculo 2" xfId="11" xr:uid="{50C4EC74-E057-4C2B-93DA-860A6C9D6A9E}"/>
    <cellStyle name="MainTitle" xfId="6" xr:uid="{55A65B43-2E21-4649-A6D7-9DCA2B12E563}"/>
    <cellStyle name="Millares [0]" xfId="1" builtinId="6"/>
    <cellStyle name="Millares [0] 3" xfId="12" xr:uid="{EE07ABCA-E5ED-4E6D-88D3-D27EF8A728E8}"/>
    <cellStyle name="Moneda" xfId="2" builtinId="4"/>
    <cellStyle name="Moneda [0]" xfId="3" builtinId="7"/>
    <cellStyle name="Normal" xfId="0" builtinId="0"/>
    <cellStyle name="Normal 2" xfId="9" xr:uid="{DEF17A61-7064-4D67-B181-856E61F754A9}"/>
    <cellStyle name="Normal 2 2" xfId="10" xr:uid="{A08982B4-3C0C-4A46-ABDB-A7DF937DCC98}"/>
  </cellStyles>
  <dxfs count="31">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ertAlign val="baseline"/>
        <sz val="11"/>
        <color theme="1"/>
        <name val="Arial"/>
        <scheme val="none"/>
      </font>
      <numFmt numFmtId="30" formatCode="@"/>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6" formatCode="&quot;$&quot;\ #,##0"/>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1"/>
        <color theme="1"/>
        <name val="Arial"/>
        <scheme val="none"/>
      </font>
      <fill>
        <patternFill patternType="solid">
          <bgColor theme="0"/>
        </patternFill>
      </fill>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9" formatCode="dd/mm/yy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74" formatCode="d/mm/yyyy"/>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VER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En%20construccion_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onardovillamil\AppData\Local\Microsoft\Windows\INetCache\Content.Outlook\HMCHKIQZ\Formulario%20Necesidades%20-PAA%202020%20OAC%2029-nov-2019%20ALCAN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RN/2019/PLAN%20DE%20ADQUISICIONES/Elaboracion%20PAA/PAA%202020/Necesidades%20Areas%202020/Copia%20de%201%20PAA%20DPR%20Actualizado%20a%200301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Gestion%20Oficina%20TI\Jefatura%20OTI\PRESUPUESTO\PRESUPUESTO%20OTI%202019\Anteproyecto%20PAA\Formulario%20Necesidades%20-PAA%202020%20(1811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Planeac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financiera.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arolinacastillo\Documents\DPR%202020\Plan%20Anual%20de%20Adquisiciones%202020\201119%20Consolidado%20PAA%202020%20DPR%20V1_18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quisiciones 2020 "/>
      <sheetName val="Analisis tiempo"/>
      <sheetName val="HOJA DE CONTROL"/>
      <sheetName val="Adquisiciones 2020"/>
      <sheetName val="Tabla dinamica PAA ARN 2019"/>
      <sheetName val="Hoja1"/>
      <sheetName val="Listas"/>
      <sheetName val="Plan de Adquisiciones ARN 2020 "/>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Analisis tiempo"/>
      <sheetName val="Adquisiciones 2020"/>
      <sheetName val="Tabla dinamica PAA ARN 2020"/>
      <sheetName val="Hoja1"/>
      <sheetName val="List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9"/>
      <sheetName val="List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ucia"/>
      <sheetName val="Token"/>
      <sheetName val="PAA 2020"/>
      <sheetName val="Listas"/>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EBED9C-C0E4-4BA8-B786-9EF8F2D0D89E}" name="Tabla1" displayName="Tabla1" ref="A5:Z175" totalsRowShown="0" headerRowDxfId="30" dataDxfId="0" headerRowBorderDxfId="28" tableBorderDxfId="29" totalsRowBorderDxfId="27" headerRowCellStyle="BodyStyle" dataCellStyle="BodyStyle">
  <autoFilter ref="A5:Z175" xr:uid="{2034EC0D-FD8C-4126-9C63-8449CE21BD15}"/>
  <tableColumns count="26">
    <tableColumn id="1" xr3:uid="{9BEEA205-9513-42FA-B689-CAA0B90EC57C}" name="Dependencia Responsable (Selección la que corresponde)" dataDxfId="26" dataCellStyle="BodyStyle"/>
    <tableColumn id="2" xr3:uid="{E284BFB4-598E-467B-8D31-014AB2079F9F}" name="Código UNSPSC (cada código separado por ;)" dataDxfId="25" dataCellStyle="Normal 2"/>
    <tableColumn id="3" xr3:uid="{6F2E8003-08A3-4857-AFB8-1A52B7C92DD9}" name="Descripción (bien o servicio requerido a contratar)" dataDxfId="24" dataCellStyle="Normal 2"/>
    <tableColumn id="25" xr3:uid="{A0A7E97C-3A78-4348-AFCA-3485B4E51F20}" name="Fecha Terminación en 2020 de los _x000a_Contratos Vf del 2018, 2019 " dataDxfId="23" dataCellStyle="Normal 2"/>
    <tableColumn id="4" xr3:uid="{78CE83F2-7C3F-40F8-8CAC-98595639F128}" name="Fecha estimada de radicación en el GGC para iniciar Estudio de Mercado" dataDxfId="22" dataCellStyle="Normal 2"/>
    <tableColumn id="6" xr3:uid="{56A50658-6A4E-4C87-88A7-54B0D26207F2}" name="Fecha (mes)  estimada de presentación de ofertas (Cierre del proceso)" dataDxfId="21" dataCellStyle="Normal 2"/>
    <tableColumn id="7" xr3:uid="{B9928FC6-A035-4513-B5E3-36BAF5C6AE92}" name="Duración estimada del contrato (número de Meses o días)" dataDxfId="20"/>
    <tableColumn id="8" xr3:uid="{7E1C5822-588F-40DF-8F07-FA6ED2248D5E}" name="Duración estimada del contrato (intervalo: días, Meses, años)" dataDxfId="19" dataCellStyle="Millares [0]"/>
    <tableColumn id="9" xr3:uid="{A3EE86D2-260A-4504-9F9E-AA6617B5CA57}" name="Modalidad de selección (seleccione)" dataDxfId="18" dataCellStyle="Normal 2"/>
    <tableColumn id="10" xr3:uid="{B7A49774-8617-4FEC-B8A4-370AB633E266}" name="Descripción de la Actividad (según clasificación del presupuesto)" dataDxfId="17" dataCellStyle="BodyStyle"/>
    <tableColumn id="11" xr3:uid="{339EA20E-3499-4930-9C5C-6EA15CE11BE4}" name="Rubro presupuesto" dataDxfId="16" dataCellStyle="Normal 2"/>
    <tableColumn id="12" xr3:uid="{20C19B08-024A-49BB-92EA-F6E495BBF3E3}" name="Valor estimado Asignado a Contratar _x000a_(Incluya el valor total de la Contratación si tiene Vigencia Futura. De lo contrario, este valor debe ser igual al de la siguiente columna)" dataDxfId="15" dataCellStyle="Moneda [0]">
      <calculatedColumnFormula>+M6+P6+Q6</calculatedColumnFormula>
    </tableColumn>
    <tableColumn id="13" xr3:uid="{60055249-FA34-42A8-BE6B-5583C512AEDA}" name="Valor estimado en la vigencia actual" dataDxfId="14" dataCellStyle="Moneda [0]">
      <calculatedColumnFormula>+O6+N6</calculatedColumnFormula>
    </tableColumn>
    <tableColumn id="14" xr3:uid="{D2D4936D-46BE-402E-BFAB-85689231A6C6}" name="Fuente de los recursos (reintegración de la vigencia actual)" dataDxfId="13" dataCellStyle="Moneda [0]"/>
    <tableColumn id="15" xr3:uid="{84C23B65-388A-47CE-9E08-46825B7AC1F4}" name="Fuente de los recursos (reincorporación de la vigencia actual)" dataDxfId="12" dataCellStyle="Moneda [0]"/>
    <tableColumn id="27" xr3:uid="{4A2E29AA-4399-4691-8BDB-07BBACD3309E}" name="Valor 2021" dataDxfId="11" dataCellStyle="Moneda [0]">
      <calculatedColumnFormula>5262916643</calculatedColumnFormula>
    </tableColumn>
    <tableColumn id="28" xr3:uid="{2D8673CE-CE87-451D-ABE5-FA816C3BA811}" name="Valor 2022" dataDxfId="10" dataCellStyle="Moneda [0]"/>
    <tableColumn id="16" xr3:uid="{7F5DC5AF-551D-4BD9-AEDC-F1B7CF72EEC9}" name="¿Se requieren vigencias futuras?" dataDxfId="9" dataCellStyle="BodyStyle"/>
    <tableColumn id="17" xr3:uid="{82CF1530-FE52-45A1-9DD3-67B7C16F5900}" name="Estado de solicitud de vigencias futuras" dataDxfId="8" dataCellStyle="BodyStyle"/>
    <tableColumn id="29" xr3:uid="{8976D01A-AAFF-4FA0-8F01-ABC93E8F7F5F}" name="Estado" dataDxfId="7" dataCellStyle="BodyStyle"/>
    <tableColumn id="18" xr3:uid="{3F573808-838E-4E50-B062-506623DEF1F2}" name="Nombre del Responsable en la Dependencia" dataDxfId="6" dataCellStyle="BodyStyle"/>
    <tableColumn id="19" xr3:uid="{0C7455B9-7633-4788-8F24-3078CAC252AF}" name="Unidad de contratación (Grupo de Gestión Contractual)" dataDxfId="5" dataCellStyle="BodyStyle"/>
    <tableColumn id="20" xr3:uid="{83D2FD61-7972-46AF-9D69-8A45EAFFC19A}" name="Ubicación" dataDxfId="4" dataCellStyle="BodyStyle"/>
    <tableColumn id="21" xr3:uid="{139073EA-C375-4ED6-ADE8-32762938FC5F}" name="Nombre del responsable " dataDxfId="3" dataCellStyle="BodyStyle"/>
    <tableColumn id="22" xr3:uid="{607D76E7-A79C-4081-9CAF-361DEAB1979C}" name="Teléfono del responsable " dataDxfId="2" dataCellStyle="BodyStyle"/>
    <tableColumn id="23" xr3:uid="{CF8ADFC4-356C-4E0D-B92D-2FCAC5261C9A}" name="Correo electrónico del responsable " dataDxfId="1" dataCellStyle="Hipervínculo"/>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aviermosquera@reincorporacion.gov.co" TargetMode="External"/><Relationship Id="rId21" Type="http://schemas.openxmlformats.org/officeDocument/2006/relationships/hyperlink" Target="mailto:javiermosquera@reincorporacion.gov.co" TargetMode="External"/><Relationship Id="rId42" Type="http://schemas.openxmlformats.org/officeDocument/2006/relationships/hyperlink" Target="mailto:javiermosquera@reincorporacion.gov.co" TargetMode="External"/><Relationship Id="rId47" Type="http://schemas.openxmlformats.org/officeDocument/2006/relationships/hyperlink" Target="mailto:javiermosquera@reincorporacion.gov.co" TargetMode="External"/><Relationship Id="rId63" Type="http://schemas.openxmlformats.org/officeDocument/2006/relationships/hyperlink" Target="mailto:javiermosquera@reincorporacion.gov.co" TargetMode="External"/><Relationship Id="rId68" Type="http://schemas.openxmlformats.org/officeDocument/2006/relationships/hyperlink" Target="mailto:javiermosquera@reincorporacion.gov.co" TargetMode="External"/><Relationship Id="rId84" Type="http://schemas.openxmlformats.org/officeDocument/2006/relationships/printerSettings" Target="../printerSettings/printerSettings1.bin"/><Relationship Id="rId16" Type="http://schemas.openxmlformats.org/officeDocument/2006/relationships/hyperlink" Target="mailto:javiermosquera@reincorporacion.gov.co" TargetMode="External"/><Relationship Id="rId11" Type="http://schemas.openxmlformats.org/officeDocument/2006/relationships/hyperlink" Target="mailto:javiermosquera@reincorporacion.gov.co" TargetMode="External"/><Relationship Id="rId32" Type="http://schemas.openxmlformats.org/officeDocument/2006/relationships/hyperlink" Target="mailto:javiermosquera@reincorporacion.gov.co" TargetMode="External"/><Relationship Id="rId37" Type="http://schemas.openxmlformats.org/officeDocument/2006/relationships/hyperlink" Target="mailto:javiermosquera@reincorporacion.gov.co" TargetMode="External"/><Relationship Id="rId53" Type="http://schemas.openxmlformats.org/officeDocument/2006/relationships/hyperlink" Target="mailto:javiermosquera@reincorporacion.gov.co" TargetMode="External"/><Relationship Id="rId58" Type="http://schemas.openxmlformats.org/officeDocument/2006/relationships/hyperlink" Target="mailto:javiermosquera@reincorporacion.gov.co" TargetMode="External"/><Relationship Id="rId74" Type="http://schemas.openxmlformats.org/officeDocument/2006/relationships/hyperlink" Target="mailto:javiermosquera@reincorporacion.gov.co" TargetMode="External"/><Relationship Id="rId79" Type="http://schemas.openxmlformats.org/officeDocument/2006/relationships/hyperlink" Target="mailto:javiermosquera@reincorporacion.gov.co" TargetMode="External"/><Relationship Id="rId5" Type="http://schemas.openxmlformats.org/officeDocument/2006/relationships/hyperlink" Target="mailto:javiermosquera@reincorporacion.gov.co" TargetMode="External"/><Relationship Id="rId19" Type="http://schemas.openxmlformats.org/officeDocument/2006/relationships/hyperlink" Target="mailto:javiermosquera@reincorporacion.gov.co" TargetMode="External"/><Relationship Id="rId14" Type="http://schemas.openxmlformats.org/officeDocument/2006/relationships/hyperlink" Target="mailto:javiermosquera@reincorporacion.gov.co" TargetMode="External"/><Relationship Id="rId22" Type="http://schemas.openxmlformats.org/officeDocument/2006/relationships/hyperlink" Target="mailto:javiermosquera@reincorporacion.gov.co" TargetMode="External"/><Relationship Id="rId27" Type="http://schemas.openxmlformats.org/officeDocument/2006/relationships/hyperlink" Target="mailto:javiermosquera@reincorporacion.gov.co" TargetMode="External"/><Relationship Id="rId30" Type="http://schemas.openxmlformats.org/officeDocument/2006/relationships/hyperlink" Target="mailto:javiermosquera@reincorporacion.gov.co" TargetMode="External"/><Relationship Id="rId35" Type="http://schemas.openxmlformats.org/officeDocument/2006/relationships/hyperlink" Target="mailto:javiermosquera@reincorporacion.gov.co" TargetMode="External"/><Relationship Id="rId43" Type="http://schemas.openxmlformats.org/officeDocument/2006/relationships/hyperlink" Target="mailto:javiermosquera@reincorporacion.gov.co" TargetMode="External"/><Relationship Id="rId48" Type="http://schemas.openxmlformats.org/officeDocument/2006/relationships/hyperlink" Target="mailto:javiermosquera@reincorporacion.gov.co" TargetMode="External"/><Relationship Id="rId56" Type="http://schemas.openxmlformats.org/officeDocument/2006/relationships/hyperlink" Target="mailto:javiermosquera@reincorporacion.gov.co" TargetMode="External"/><Relationship Id="rId64" Type="http://schemas.openxmlformats.org/officeDocument/2006/relationships/hyperlink" Target="mailto:javiermosquera@reincorporacion.gov.co" TargetMode="External"/><Relationship Id="rId69" Type="http://schemas.openxmlformats.org/officeDocument/2006/relationships/hyperlink" Target="mailto:javiermosquera@reincorporacion.gov.co" TargetMode="External"/><Relationship Id="rId77" Type="http://schemas.openxmlformats.org/officeDocument/2006/relationships/hyperlink" Target="mailto:javiermosquera@reincorporacion.gov.co" TargetMode="External"/><Relationship Id="rId8" Type="http://schemas.openxmlformats.org/officeDocument/2006/relationships/hyperlink" Target="mailto:javiermosquera@reincorporacion.gov.co" TargetMode="External"/><Relationship Id="rId51" Type="http://schemas.openxmlformats.org/officeDocument/2006/relationships/hyperlink" Target="mailto:javiermosquera@reincorporacion.gov.co" TargetMode="External"/><Relationship Id="rId72" Type="http://schemas.openxmlformats.org/officeDocument/2006/relationships/hyperlink" Target="mailto:javiermosquera@reincorporacion.gov.co" TargetMode="External"/><Relationship Id="rId80" Type="http://schemas.openxmlformats.org/officeDocument/2006/relationships/hyperlink" Target="mailto:javiermosquera@reincorporacion.gov.co" TargetMode="External"/><Relationship Id="rId85" Type="http://schemas.openxmlformats.org/officeDocument/2006/relationships/vmlDrawing" Target="../drawings/vmlDrawing1.vml"/><Relationship Id="rId3" Type="http://schemas.openxmlformats.org/officeDocument/2006/relationships/hyperlink" Target="mailto:javiermosquera@reincorporacion.gov.co" TargetMode="External"/><Relationship Id="rId12" Type="http://schemas.openxmlformats.org/officeDocument/2006/relationships/hyperlink" Target="mailto:javiermosquera@reincorporacion.gov.co" TargetMode="External"/><Relationship Id="rId17" Type="http://schemas.openxmlformats.org/officeDocument/2006/relationships/hyperlink" Target="mailto:javiermosquera@reincorporacion.gov.co" TargetMode="External"/><Relationship Id="rId25" Type="http://schemas.openxmlformats.org/officeDocument/2006/relationships/hyperlink" Target="mailto:javiermosquera@reincorporacion.gov.co" TargetMode="External"/><Relationship Id="rId33" Type="http://schemas.openxmlformats.org/officeDocument/2006/relationships/hyperlink" Target="mailto:javiermosquera@reincorporacion.gov.co" TargetMode="External"/><Relationship Id="rId38" Type="http://schemas.openxmlformats.org/officeDocument/2006/relationships/hyperlink" Target="mailto:javiermosquera@reincorporacion.gov.co" TargetMode="External"/><Relationship Id="rId46" Type="http://schemas.openxmlformats.org/officeDocument/2006/relationships/hyperlink" Target="mailto:javiermosquera@reincorporacion.gov.co" TargetMode="External"/><Relationship Id="rId59" Type="http://schemas.openxmlformats.org/officeDocument/2006/relationships/hyperlink" Target="mailto:javiermosquera@reincorporacion.gov.co" TargetMode="External"/><Relationship Id="rId67" Type="http://schemas.openxmlformats.org/officeDocument/2006/relationships/hyperlink" Target="mailto:javiermosquera@reincorporacion.gov.co" TargetMode="External"/><Relationship Id="rId20" Type="http://schemas.openxmlformats.org/officeDocument/2006/relationships/hyperlink" Target="mailto:javiermosquera@reincorporacion.gov.co" TargetMode="External"/><Relationship Id="rId41" Type="http://schemas.openxmlformats.org/officeDocument/2006/relationships/hyperlink" Target="mailto:javiermosquera@reincorporacion.gov.co" TargetMode="External"/><Relationship Id="rId54" Type="http://schemas.openxmlformats.org/officeDocument/2006/relationships/hyperlink" Target="mailto:javiermosquera@reincorporacion.gov.co" TargetMode="External"/><Relationship Id="rId62" Type="http://schemas.openxmlformats.org/officeDocument/2006/relationships/hyperlink" Target="mailto:javiermosquera@reincorporacion.gov.co" TargetMode="External"/><Relationship Id="rId70" Type="http://schemas.openxmlformats.org/officeDocument/2006/relationships/hyperlink" Target="mailto:javiermosquera@reincorporacion.gov.co" TargetMode="External"/><Relationship Id="rId75" Type="http://schemas.openxmlformats.org/officeDocument/2006/relationships/hyperlink" Target="mailto:javiermosquera@reincorporacion.gov.co" TargetMode="External"/><Relationship Id="rId83" Type="http://schemas.openxmlformats.org/officeDocument/2006/relationships/hyperlink" Target="mailto:javiermosquera@reincorporacion.gov.co" TargetMode="External"/><Relationship Id="rId1" Type="http://schemas.openxmlformats.org/officeDocument/2006/relationships/hyperlink" Target="mailto:javiermosquera@reincorporacion.gov.co" TargetMode="External"/><Relationship Id="rId6" Type="http://schemas.openxmlformats.org/officeDocument/2006/relationships/hyperlink" Target="mailto:javiermosquera@reincorporacion.gov.co" TargetMode="External"/><Relationship Id="rId15" Type="http://schemas.openxmlformats.org/officeDocument/2006/relationships/hyperlink" Target="mailto:javiermosquera@reincorporacion.gov.co" TargetMode="External"/><Relationship Id="rId23" Type="http://schemas.openxmlformats.org/officeDocument/2006/relationships/hyperlink" Target="mailto:javiermosquera@reincorporacion.gov.co" TargetMode="External"/><Relationship Id="rId28" Type="http://schemas.openxmlformats.org/officeDocument/2006/relationships/hyperlink" Target="mailto:javiermosquera@reincorporacion.gov.co" TargetMode="External"/><Relationship Id="rId36" Type="http://schemas.openxmlformats.org/officeDocument/2006/relationships/hyperlink" Target="mailto:javiermosquera@reincorporacion.gov.co" TargetMode="External"/><Relationship Id="rId49" Type="http://schemas.openxmlformats.org/officeDocument/2006/relationships/hyperlink" Target="mailto:javiermosquera@reincorporacion.gov.co" TargetMode="External"/><Relationship Id="rId57" Type="http://schemas.openxmlformats.org/officeDocument/2006/relationships/hyperlink" Target="mailto:javiermosquera@reincorporacion.gov.co" TargetMode="External"/><Relationship Id="rId10" Type="http://schemas.openxmlformats.org/officeDocument/2006/relationships/hyperlink" Target="mailto:javiermosquera@reincorporacion.gov.co" TargetMode="External"/><Relationship Id="rId31" Type="http://schemas.openxmlformats.org/officeDocument/2006/relationships/hyperlink" Target="mailto:javiermosquera@reincorporacion.gov.co" TargetMode="External"/><Relationship Id="rId44" Type="http://schemas.openxmlformats.org/officeDocument/2006/relationships/hyperlink" Target="mailto:javiermosquera@reincorporacion.gov.co" TargetMode="External"/><Relationship Id="rId52" Type="http://schemas.openxmlformats.org/officeDocument/2006/relationships/hyperlink" Target="mailto:javiermosquera@reincorporacion.gov.co" TargetMode="External"/><Relationship Id="rId60" Type="http://schemas.openxmlformats.org/officeDocument/2006/relationships/hyperlink" Target="mailto:javiermosquera@reincorporacion.gov.co" TargetMode="External"/><Relationship Id="rId65" Type="http://schemas.openxmlformats.org/officeDocument/2006/relationships/hyperlink" Target="mailto:javiermosquera@reincorporacion.gov.co" TargetMode="External"/><Relationship Id="rId73" Type="http://schemas.openxmlformats.org/officeDocument/2006/relationships/hyperlink" Target="mailto:javiermosquera@reincorporacion.gov.co" TargetMode="External"/><Relationship Id="rId78" Type="http://schemas.openxmlformats.org/officeDocument/2006/relationships/hyperlink" Target="mailto:javiermosquera@reincorporacion.gov.co" TargetMode="External"/><Relationship Id="rId81" Type="http://schemas.openxmlformats.org/officeDocument/2006/relationships/hyperlink" Target="mailto:javiermosquera@reincorporacion.gov.co" TargetMode="External"/><Relationship Id="rId86" Type="http://schemas.openxmlformats.org/officeDocument/2006/relationships/table" Target="../tables/table1.xml"/><Relationship Id="rId4" Type="http://schemas.openxmlformats.org/officeDocument/2006/relationships/hyperlink" Target="mailto:javiermosquera@reincorporacion.gov.co" TargetMode="External"/><Relationship Id="rId9" Type="http://schemas.openxmlformats.org/officeDocument/2006/relationships/hyperlink" Target="mailto:javiermosquera@reincorporacion.gov.co" TargetMode="External"/><Relationship Id="rId13" Type="http://schemas.openxmlformats.org/officeDocument/2006/relationships/hyperlink" Target="mailto:javiermosquera@reincorporacion.gov.co" TargetMode="External"/><Relationship Id="rId18" Type="http://schemas.openxmlformats.org/officeDocument/2006/relationships/hyperlink" Target="mailto:javiermosquera@reincorporacion.gov.co" TargetMode="External"/><Relationship Id="rId39" Type="http://schemas.openxmlformats.org/officeDocument/2006/relationships/hyperlink" Target="mailto:javiermosquera@reincorporacion.gov.co" TargetMode="External"/><Relationship Id="rId34" Type="http://schemas.openxmlformats.org/officeDocument/2006/relationships/hyperlink" Target="mailto:javiermosquera@reincorporacion.gov.co" TargetMode="External"/><Relationship Id="rId50" Type="http://schemas.openxmlformats.org/officeDocument/2006/relationships/hyperlink" Target="mailto:javiermosquera@reincorporacion.gov.co" TargetMode="External"/><Relationship Id="rId55" Type="http://schemas.openxmlformats.org/officeDocument/2006/relationships/hyperlink" Target="mailto:javiermosquera@reincorporacion.gov.co" TargetMode="External"/><Relationship Id="rId76" Type="http://schemas.openxmlformats.org/officeDocument/2006/relationships/hyperlink" Target="mailto:javiermosquera@reincorporacion.gov.co" TargetMode="External"/><Relationship Id="rId7" Type="http://schemas.openxmlformats.org/officeDocument/2006/relationships/hyperlink" Target="mailto:javiermosquera@reincorporacion.gov.co" TargetMode="External"/><Relationship Id="rId71" Type="http://schemas.openxmlformats.org/officeDocument/2006/relationships/hyperlink" Target="mailto:javiermosquera@reincorporacion.gov.co" TargetMode="External"/><Relationship Id="rId2" Type="http://schemas.openxmlformats.org/officeDocument/2006/relationships/hyperlink" Target="mailto:javiermosquera@reincorporacion.gov.co" TargetMode="External"/><Relationship Id="rId29" Type="http://schemas.openxmlformats.org/officeDocument/2006/relationships/hyperlink" Target="mailto:javiermosquera@reincorporacion.gov.co" TargetMode="External"/><Relationship Id="rId24" Type="http://schemas.openxmlformats.org/officeDocument/2006/relationships/hyperlink" Target="mailto:javiermosquera@reincorporacion.gov.co" TargetMode="External"/><Relationship Id="rId40" Type="http://schemas.openxmlformats.org/officeDocument/2006/relationships/hyperlink" Target="mailto:javiermosquera@reincorporacion.gov.co" TargetMode="External"/><Relationship Id="rId45" Type="http://schemas.openxmlformats.org/officeDocument/2006/relationships/hyperlink" Target="mailto:javiermosquera@reincorporacion.gov.co" TargetMode="External"/><Relationship Id="rId66" Type="http://schemas.openxmlformats.org/officeDocument/2006/relationships/hyperlink" Target="mailto:javiermosquera@reincorporacion.gov.co" TargetMode="External"/><Relationship Id="rId87" Type="http://schemas.openxmlformats.org/officeDocument/2006/relationships/comments" Target="../comments1.xml"/><Relationship Id="rId61" Type="http://schemas.openxmlformats.org/officeDocument/2006/relationships/hyperlink" Target="mailto:javiermosquera@reincorporacion.gov.co" TargetMode="External"/><Relationship Id="rId82" Type="http://schemas.openxmlformats.org/officeDocument/2006/relationships/hyperlink" Target="mailto:javiermosquera@reincorporacion.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553DC-C6AF-4368-B1DE-99A384A49EB4}">
  <sheetPr>
    <tabColor rgb="FFFFFF00"/>
  </sheetPr>
  <dimension ref="A1:Z186"/>
  <sheetViews>
    <sheetView tabSelected="1" view="pageBreakPreview" zoomScale="70" zoomScaleNormal="85" zoomScaleSheetLayoutView="70" workbookViewId="0">
      <pane xSplit="3" ySplit="5" topLeftCell="D21" activePane="bottomRight" state="frozen"/>
      <selection pane="topRight" activeCell="D1" sqref="D1"/>
      <selection pane="bottomLeft" activeCell="A6" sqref="A6"/>
      <selection pane="bottomRight" activeCell="A22" sqref="A22"/>
    </sheetView>
  </sheetViews>
  <sheetFormatPr baseColWidth="10" defaultColWidth="5" defaultRowHeight="12.5" x14ac:dyDescent="0.25"/>
  <cols>
    <col min="1" max="1" width="22.453125" style="1" customWidth="1"/>
    <col min="2" max="2" width="23.54296875" style="98" customWidth="1"/>
    <col min="3" max="3" width="46.453125" style="99" customWidth="1"/>
    <col min="4" max="4" width="16.26953125" style="98" customWidth="1"/>
    <col min="5" max="5" width="31.81640625" style="98" customWidth="1"/>
    <col min="6" max="8" width="16.26953125" style="98" customWidth="1"/>
    <col min="9" max="9" width="16.453125" style="98" customWidth="1"/>
    <col min="10" max="10" width="39.7265625" style="99" customWidth="1"/>
    <col min="11" max="11" width="18.453125" style="100" customWidth="1"/>
    <col min="12" max="12" width="19.453125" style="100" customWidth="1"/>
    <col min="13" max="13" width="19.453125" style="99" customWidth="1"/>
    <col min="14" max="14" width="20.26953125" style="99" customWidth="1"/>
    <col min="15" max="15" width="20.26953125" style="98" customWidth="1"/>
    <col min="16" max="17" width="18.26953125" style="98" customWidth="1"/>
    <col min="18" max="20" width="16.26953125" style="99" customWidth="1"/>
    <col min="21" max="21" width="16.26953125" style="98" customWidth="1"/>
    <col min="22" max="23" width="16.26953125" style="99" customWidth="1"/>
    <col min="24" max="24" width="16.26953125" style="98" customWidth="1"/>
    <col min="25" max="25" width="16.26953125" style="99" customWidth="1"/>
    <col min="26" max="26" width="42.81640625" style="5" customWidth="1"/>
    <col min="27" max="16384" width="5" style="16"/>
  </cols>
  <sheetData>
    <row r="1" spans="1:26" s="6" customFormat="1" hidden="1" x14ac:dyDescent="0.25">
      <c r="A1" s="1"/>
      <c r="B1" s="2"/>
      <c r="C1" s="3"/>
      <c r="D1" s="2"/>
      <c r="E1" s="2"/>
      <c r="F1" s="2"/>
      <c r="G1" s="2"/>
      <c r="H1" s="2"/>
      <c r="I1" s="2"/>
      <c r="J1" s="3"/>
      <c r="K1" s="4"/>
      <c r="L1" s="4"/>
      <c r="M1" s="3"/>
      <c r="N1" s="3"/>
      <c r="O1" s="2"/>
      <c r="P1" s="2"/>
      <c r="Q1" s="2"/>
      <c r="R1" s="3"/>
      <c r="S1" s="3"/>
      <c r="T1" s="3"/>
      <c r="U1" s="2"/>
      <c r="V1" s="3"/>
      <c r="W1" s="3"/>
      <c r="X1" s="2"/>
      <c r="Y1" s="3"/>
      <c r="Z1" s="5"/>
    </row>
    <row r="2" spans="1:26" s="6" customFormat="1" hidden="1" x14ac:dyDescent="0.25">
      <c r="A2" s="1"/>
      <c r="B2" s="2"/>
      <c r="C2" s="3"/>
      <c r="D2" s="2"/>
      <c r="E2" s="2"/>
      <c r="F2" s="2"/>
      <c r="G2" s="2"/>
      <c r="H2" s="2"/>
      <c r="I2" s="2"/>
      <c r="J2" s="3"/>
      <c r="K2" s="4"/>
      <c r="L2" s="4"/>
      <c r="M2" s="3"/>
      <c r="N2" s="3"/>
      <c r="O2" s="2"/>
      <c r="P2" s="2"/>
      <c r="Q2" s="2"/>
      <c r="R2" s="3"/>
      <c r="S2" s="3"/>
      <c r="T2" s="3"/>
      <c r="U2" s="2"/>
      <c r="V2" s="3"/>
      <c r="W2" s="3"/>
      <c r="X2" s="2"/>
      <c r="Y2" s="3"/>
      <c r="Z2" s="5"/>
    </row>
    <row r="3" spans="1:26" s="6" customFormat="1" ht="36" hidden="1" customHeight="1" x14ac:dyDescent="0.25">
      <c r="A3" s="1"/>
      <c r="B3" s="7"/>
      <c r="C3" s="8" t="s">
        <v>0</v>
      </c>
      <c r="D3" s="9"/>
      <c r="E3" s="9"/>
      <c r="F3" s="9"/>
      <c r="G3" s="9"/>
      <c r="H3" s="9"/>
      <c r="I3" s="9"/>
      <c r="J3" s="9"/>
      <c r="K3" s="9"/>
      <c r="L3" s="9"/>
      <c r="M3" s="9"/>
      <c r="N3" s="9"/>
      <c r="O3" s="9"/>
      <c r="P3" s="9"/>
      <c r="Q3" s="9"/>
      <c r="R3" s="9"/>
      <c r="S3" s="9"/>
      <c r="T3" s="9"/>
      <c r="U3" s="9"/>
      <c r="V3" s="9"/>
      <c r="W3" s="9"/>
      <c r="X3" s="9"/>
      <c r="Y3" s="9"/>
      <c r="Z3" s="5"/>
    </row>
    <row r="4" spans="1:26" s="6" customFormat="1" ht="21.75" hidden="1" customHeight="1" x14ac:dyDescent="0.25">
      <c r="A4" s="1"/>
      <c r="B4" s="7"/>
      <c r="C4" s="9"/>
      <c r="D4" s="9"/>
      <c r="E4" s="9"/>
      <c r="F4" s="9"/>
      <c r="G4" s="9"/>
      <c r="H4" s="9"/>
      <c r="I4" s="9"/>
      <c r="J4" s="9"/>
      <c r="K4" s="9"/>
      <c r="L4" s="9"/>
      <c r="M4" s="9"/>
      <c r="N4" s="9"/>
      <c r="O4" s="9"/>
      <c r="P4" s="9"/>
      <c r="Q4" s="9"/>
      <c r="R4" s="9"/>
      <c r="S4" s="9"/>
      <c r="T4" s="9"/>
      <c r="U4" s="9"/>
      <c r="V4" s="9"/>
      <c r="W4" s="9"/>
      <c r="X4" s="9"/>
      <c r="Y4" s="9"/>
      <c r="Z4" s="5"/>
    </row>
    <row r="5" spans="1:26" ht="109.5" customHeight="1" x14ac:dyDescent="0.25">
      <c r="A5" s="10" t="s">
        <v>1</v>
      </c>
      <c r="B5" s="11" t="s">
        <v>2</v>
      </c>
      <c r="C5" s="12" t="s">
        <v>3</v>
      </c>
      <c r="D5" s="11" t="s">
        <v>4</v>
      </c>
      <c r="E5" s="11" t="s">
        <v>5</v>
      </c>
      <c r="F5" s="11" t="s">
        <v>6</v>
      </c>
      <c r="G5" s="11" t="s">
        <v>7</v>
      </c>
      <c r="H5" s="11" t="s">
        <v>8</v>
      </c>
      <c r="I5" s="11" t="s">
        <v>9</v>
      </c>
      <c r="J5" s="11" t="s">
        <v>10</v>
      </c>
      <c r="K5" s="11" t="s">
        <v>11</v>
      </c>
      <c r="L5" s="11" t="s">
        <v>12</v>
      </c>
      <c r="M5" s="13" t="s">
        <v>13</v>
      </c>
      <c r="N5" s="11" t="s">
        <v>14</v>
      </c>
      <c r="O5" s="11" t="s">
        <v>15</v>
      </c>
      <c r="P5" s="11" t="s">
        <v>16</v>
      </c>
      <c r="Q5" s="11" t="s">
        <v>17</v>
      </c>
      <c r="R5" s="11" t="s">
        <v>18</v>
      </c>
      <c r="S5" s="11" t="s">
        <v>19</v>
      </c>
      <c r="T5" s="11" t="s">
        <v>20</v>
      </c>
      <c r="U5" s="11" t="s">
        <v>21</v>
      </c>
      <c r="V5" s="11" t="s">
        <v>22</v>
      </c>
      <c r="W5" s="11" t="s">
        <v>23</v>
      </c>
      <c r="X5" s="14" t="s">
        <v>24</v>
      </c>
      <c r="Y5" s="11" t="s">
        <v>25</v>
      </c>
      <c r="Z5" s="15" t="s">
        <v>26</v>
      </c>
    </row>
    <row r="6" spans="1:26" ht="168.75" customHeight="1" x14ac:dyDescent="0.25">
      <c r="A6" s="17" t="s">
        <v>28</v>
      </c>
      <c r="B6" s="18" t="s">
        <v>29</v>
      </c>
      <c r="C6" s="19" t="s">
        <v>482</v>
      </c>
      <c r="D6" s="19"/>
      <c r="E6" s="20">
        <v>44012</v>
      </c>
      <c r="F6" s="21" t="s">
        <v>30</v>
      </c>
      <c r="G6" s="32">
        <v>6</v>
      </c>
      <c r="H6" s="22" t="s">
        <v>31</v>
      </c>
      <c r="I6" s="23" t="s">
        <v>32</v>
      </c>
      <c r="J6" s="24" t="s">
        <v>33</v>
      </c>
      <c r="K6" s="18" t="s">
        <v>34</v>
      </c>
      <c r="L6" s="25">
        <f>+M6+P6+Q6</f>
        <v>1250000000</v>
      </c>
      <c r="M6" s="25">
        <f t="shared" ref="M6:M55" si="0">+O6+N6</f>
        <v>1250000000</v>
      </c>
      <c r="N6" s="26">
        <v>0</v>
      </c>
      <c r="O6" s="27">
        <f>1500000000-250000000</f>
        <v>1250000000</v>
      </c>
      <c r="P6" s="26"/>
      <c r="Q6" s="26"/>
      <c r="R6" s="28" t="s">
        <v>35</v>
      </c>
      <c r="S6" s="28" t="s">
        <v>36</v>
      </c>
      <c r="T6" s="28"/>
      <c r="U6" s="28" t="s">
        <v>37</v>
      </c>
      <c r="V6" s="28" t="s">
        <v>38</v>
      </c>
      <c r="W6" s="28" t="s">
        <v>39</v>
      </c>
      <c r="X6" s="28" t="s">
        <v>40</v>
      </c>
      <c r="Y6" s="29" t="s">
        <v>41</v>
      </c>
      <c r="Z6" s="30" t="s">
        <v>42</v>
      </c>
    </row>
    <row r="7" spans="1:26" ht="87" customHeight="1" x14ac:dyDescent="0.25">
      <c r="A7" s="17" t="s">
        <v>28</v>
      </c>
      <c r="B7" s="18" t="s">
        <v>44</v>
      </c>
      <c r="C7" s="19" t="s">
        <v>45</v>
      </c>
      <c r="D7" s="33">
        <v>44106</v>
      </c>
      <c r="E7" s="20">
        <v>43980</v>
      </c>
      <c r="F7" s="21"/>
      <c r="G7" s="32">
        <v>7</v>
      </c>
      <c r="H7" s="22" t="s">
        <v>31</v>
      </c>
      <c r="I7" s="23" t="s">
        <v>46</v>
      </c>
      <c r="J7" s="24" t="s">
        <v>47</v>
      </c>
      <c r="K7" s="18" t="s">
        <v>34</v>
      </c>
      <c r="L7" s="25">
        <f>+M7+P7+Q7</f>
        <v>2553183679</v>
      </c>
      <c r="M7" s="25">
        <f t="shared" si="0"/>
        <v>2553183679</v>
      </c>
      <c r="N7" s="26">
        <v>2553183679</v>
      </c>
      <c r="O7" s="26"/>
      <c r="P7" s="26"/>
      <c r="Q7" s="26"/>
      <c r="R7" s="28" t="s">
        <v>35</v>
      </c>
      <c r="S7" s="28" t="s">
        <v>36</v>
      </c>
      <c r="T7" s="28" t="s">
        <v>48</v>
      </c>
      <c r="U7" s="28" t="s">
        <v>37</v>
      </c>
      <c r="V7" s="28" t="s">
        <v>38</v>
      </c>
      <c r="W7" s="28" t="s">
        <v>39</v>
      </c>
      <c r="X7" s="28" t="s">
        <v>40</v>
      </c>
      <c r="Y7" s="29" t="s">
        <v>41</v>
      </c>
      <c r="Z7" s="30" t="s">
        <v>42</v>
      </c>
    </row>
    <row r="8" spans="1:26" ht="98.25" customHeight="1" x14ac:dyDescent="0.25">
      <c r="A8" s="17" t="s">
        <v>28</v>
      </c>
      <c r="B8" s="18" t="s">
        <v>44</v>
      </c>
      <c r="C8" s="19" t="s">
        <v>49</v>
      </c>
      <c r="D8" s="33">
        <v>44106</v>
      </c>
      <c r="E8" s="20">
        <v>43980</v>
      </c>
      <c r="F8" s="21" t="s">
        <v>50</v>
      </c>
      <c r="G8" s="32">
        <v>7</v>
      </c>
      <c r="H8" s="22" t="s">
        <v>31</v>
      </c>
      <c r="I8" s="23" t="s">
        <v>51</v>
      </c>
      <c r="J8" s="24" t="s">
        <v>47</v>
      </c>
      <c r="K8" s="18" t="s">
        <v>34</v>
      </c>
      <c r="L8" s="25">
        <f t="shared" ref="L8:L64" si="1">+M8+P8+Q8</f>
        <v>530000000</v>
      </c>
      <c r="M8" s="25">
        <f t="shared" si="0"/>
        <v>530000000</v>
      </c>
      <c r="N8" s="26">
        <f>800000000-270000000</f>
        <v>530000000</v>
      </c>
      <c r="O8" s="26"/>
      <c r="P8" s="26"/>
      <c r="Q8" s="26"/>
      <c r="R8" s="28" t="s">
        <v>35</v>
      </c>
      <c r="S8" s="28" t="s">
        <v>36</v>
      </c>
      <c r="T8" s="28"/>
      <c r="U8" s="28" t="s">
        <v>37</v>
      </c>
      <c r="V8" s="28" t="s">
        <v>38</v>
      </c>
      <c r="W8" s="28" t="s">
        <v>39</v>
      </c>
      <c r="X8" s="28" t="s">
        <v>40</v>
      </c>
      <c r="Y8" s="29" t="s">
        <v>41</v>
      </c>
      <c r="Z8" s="30" t="s">
        <v>42</v>
      </c>
    </row>
    <row r="9" spans="1:26" ht="57.75" customHeight="1" x14ac:dyDescent="0.25">
      <c r="A9" s="17" t="s">
        <v>28</v>
      </c>
      <c r="B9" s="18" t="s">
        <v>44</v>
      </c>
      <c r="C9" s="19" t="s">
        <v>52</v>
      </c>
      <c r="D9" s="33">
        <v>44071</v>
      </c>
      <c r="E9" s="20"/>
      <c r="F9" s="21"/>
      <c r="G9" s="32"/>
      <c r="H9" s="22"/>
      <c r="I9" s="23" t="s">
        <v>46</v>
      </c>
      <c r="J9" s="24" t="s">
        <v>53</v>
      </c>
      <c r="K9" s="18" t="s">
        <v>34</v>
      </c>
      <c r="L9" s="25">
        <f t="shared" si="1"/>
        <v>2836535605</v>
      </c>
      <c r="M9" s="25">
        <f t="shared" si="0"/>
        <v>2836535605</v>
      </c>
      <c r="N9" s="25"/>
      <c r="O9" s="26">
        <v>2836535605</v>
      </c>
      <c r="P9" s="26"/>
      <c r="Q9" s="26"/>
      <c r="R9" s="28" t="s">
        <v>35</v>
      </c>
      <c r="S9" s="28" t="s">
        <v>36</v>
      </c>
      <c r="T9" s="28" t="s">
        <v>48</v>
      </c>
      <c r="U9" s="28" t="s">
        <v>37</v>
      </c>
      <c r="V9" s="28" t="s">
        <v>38</v>
      </c>
      <c r="W9" s="28" t="s">
        <v>39</v>
      </c>
      <c r="X9" s="28" t="s">
        <v>40</v>
      </c>
      <c r="Y9" s="29" t="s">
        <v>41</v>
      </c>
      <c r="Z9" s="30" t="s">
        <v>42</v>
      </c>
    </row>
    <row r="10" spans="1:26" ht="99" customHeight="1" x14ac:dyDescent="0.25">
      <c r="A10" s="17" t="s">
        <v>28</v>
      </c>
      <c r="B10" s="18" t="s">
        <v>54</v>
      </c>
      <c r="C10" s="36" t="s">
        <v>55</v>
      </c>
      <c r="D10" s="33">
        <v>44082</v>
      </c>
      <c r="E10" s="20"/>
      <c r="F10" s="28"/>
      <c r="G10" s="35"/>
      <c r="H10" s="28" t="s">
        <v>31</v>
      </c>
      <c r="I10" s="23" t="s">
        <v>46</v>
      </c>
      <c r="J10" s="36" t="s">
        <v>56</v>
      </c>
      <c r="K10" s="18" t="s">
        <v>34</v>
      </c>
      <c r="L10" s="25">
        <f t="shared" si="1"/>
        <v>1051718685</v>
      </c>
      <c r="M10" s="25">
        <f t="shared" si="0"/>
        <v>1051718685</v>
      </c>
      <c r="N10" s="25">
        <v>1051718685</v>
      </c>
      <c r="O10" s="25"/>
      <c r="P10" s="25"/>
      <c r="Q10" s="25"/>
      <c r="R10" s="28" t="s">
        <v>35</v>
      </c>
      <c r="S10" s="28" t="s">
        <v>57</v>
      </c>
      <c r="T10" s="28" t="s">
        <v>48</v>
      </c>
      <c r="U10" s="28" t="s">
        <v>37</v>
      </c>
      <c r="V10" s="28" t="s">
        <v>38</v>
      </c>
      <c r="W10" s="28" t="s">
        <v>39</v>
      </c>
      <c r="X10" s="28" t="s">
        <v>40</v>
      </c>
      <c r="Y10" s="29" t="s">
        <v>58</v>
      </c>
      <c r="Z10" s="30" t="s">
        <v>42</v>
      </c>
    </row>
    <row r="11" spans="1:26" ht="116.25" customHeight="1" x14ac:dyDescent="0.25">
      <c r="A11" s="17" t="s">
        <v>28</v>
      </c>
      <c r="B11" s="18" t="s">
        <v>29</v>
      </c>
      <c r="C11" s="19" t="s">
        <v>59</v>
      </c>
      <c r="D11" s="19"/>
      <c r="E11" s="20">
        <v>43994</v>
      </c>
      <c r="F11" s="34" t="s">
        <v>50</v>
      </c>
      <c r="G11" s="32">
        <v>6</v>
      </c>
      <c r="H11" s="22" t="s">
        <v>31</v>
      </c>
      <c r="I11" s="23" t="s">
        <v>32</v>
      </c>
      <c r="J11" s="24" t="s">
        <v>60</v>
      </c>
      <c r="K11" s="18" t="s">
        <v>34</v>
      </c>
      <c r="L11" s="25">
        <f t="shared" si="1"/>
        <v>3200000000</v>
      </c>
      <c r="M11" s="25">
        <f t="shared" si="0"/>
        <v>3200000000</v>
      </c>
      <c r="N11" s="26">
        <v>0</v>
      </c>
      <c r="O11" s="26">
        <f>4120000000-920000000</f>
        <v>3200000000</v>
      </c>
      <c r="P11" s="26"/>
      <c r="Q11" s="26"/>
      <c r="R11" s="28" t="s">
        <v>35</v>
      </c>
      <c r="S11" s="28" t="s">
        <v>36</v>
      </c>
      <c r="T11" s="28"/>
      <c r="U11" s="28" t="s">
        <v>37</v>
      </c>
      <c r="V11" s="28" t="s">
        <v>38</v>
      </c>
      <c r="W11" s="28" t="s">
        <v>39</v>
      </c>
      <c r="X11" s="28" t="s">
        <v>40</v>
      </c>
      <c r="Y11" s="29" t="s">
        <v>41</v>
      </c>
      <c r="Z11" s="30" t="s">
        <v>42</v>
      </c>
    </row>
    <row r="12" spans="1:26" ht="124.5" customHeight="1" x14ac:dyDescent="0.25">
      <c r="A12" s="17" t="s">
        <v>61</v>
      </c>
      <c r="B12" s="18">
        <v>86101700</v>
      </c>
      <c r="C12" s="19" t="s">
        <v>63</v>
      </c>
      <c r="D12" s="19"/>
      <c r="E12" s="101">
        <v>43951</v>
      </c>
      <c r="F12" s="34" t="s">
        <v>30</v>
      </c>
      <c r="G12" s="35">
        <v>6</v>
      </c>
      <c r="H12" s="22" t="s">
        <v>31</v>
      </c>
      <c r="I12" s="23" t="s">
        <v>64</v>
      </c>
      <c r="J12" s="24" t="s">
        <v>65</v>
      </c>
      <c r="K12" s="18"/>
      <c r="L12" s="25">
        <f>+M12+P12+Q12</f>
        <v>500000000</v>
      </c>
      <c r="M12" s="25">
        <f t="shared" si="0"/>
        <v>500000000</v>
      </c>
      <c r="N12" s="26"/>
      <c r="O12" s="26">
        <v>500000000</v>
      </c>
      <c r="P12" s="38"/>
      <c r="Q12" s="25"/>
      <c r="R12" s="28" t="s">
        <v>35</v>
      </c>
      <c r="S12" s="28" t="s">
        <v>36</v>
      </c>
      <c r="T12" s="28" t="s">
        <v>66</v>
      </c>
      <c r="U12" s="28" t="s">
        <v>62</v>
      </c>
      <c r="V12" s="28" t="s">
        <v>38</v>
      </c>
      <c r="W12" s="28" t="s">
        <v>39</v>
      </c>
      <c r="X12" s="28" t="s">
        <v>40</v>
      </c>
      <c r="Y12" s="29" t="s">
        <v>41</v>
      </c>
      <c r="Z12" s="30" t="s">
        <v>42</v>
      </c>
    </row>
    <row r="13" spans="1:26" ht="173.25" customHeight="1" x14ac:dyDescent="0.25">
      <c r="A13" s="17" t="s">
        <v>67</v>
      </c>
      <c r="B13" s="23">
        <v>84131601</v>
      </c>
      <c r="C13" s="19" t="s">
        <v>68</v>
      </c>
      <c r="D13" s="19"/>
      <c r="E13" s="20"/>
      <c r="F13" s="28"/>
      <c r="G13" s="28"/>
      <c r="H13" s="22"/>
      <c r="I13" s="23" t="s">
        <v>69</v>
      </c>
      <c r="J13" s="36" t="s">
        <v>70</v>
      </c>
      <c r="K13" s="18" t="s">
        <v>34</v>
      </c>
      <c r="L13" s="25">
        <f t="shared" si="1"/>
        <v>0</v>
      </c>
      <c r="M13" s="25">
        <f t="shared" si="0"/>
        <v>0</v>
      </c>
      <c r="N13" s="25"/>
      <c r="O13" s="25"/>
      <c r="P13" s="25"/>
      <c r="Q13" s="25"/>
      <c r="R13" s="28" t="s">
        <v>35</v>
      </c>
      <c r="S13" s="28" t="s">
        <v>36</v>
      </c>
      <c r="T13" s="28"/>
      <c r="U13" s="28" t="s">
        <v>71</v>
      </c>
      <c r="V13" s="28" t="s">
        <v>38</v>
      </c>
      <c r="W13" s="28" t="s">
        <v>39</v>
      </c>
      <c r="X13" s="28" t="s">
        <v>40</v>
      </c>
      <c r="Y13" s="29" t="s">
        <v>41</v>
      </c>
      <c r="Z13" s="30" t="s">
        <v>42</v>
      </c>
    </row>
    <row r="14" spans="1:26" ht="87.65" customHeight="1" x14ac:dyDescent="0.25">
      <c r="A14" s="17" t="s">
        <v>72</v>
      </c>
      <c r="B14" s="18" t="s">
        <v>73</v>
      </c>
      <c r="C14" s="19" t="s">
        <v>74</v>
      </c>
      <c r="D14" s="33"/>
      <c r="E14" s="20">
        <v>43903</v>
      </c>
      <c r="F14" s="21" t="s">
        <v>75</v>
      </c>
      <c r="G14" s="28" t="s">
        <v>76</v>
      </c>
      <c r="H14" s="22" t="s">
        <v>31</v>
      </c>
      <c r="I14" s="19" t="s">
        <v>32</v>
      </c>
      <c r="J14" s="24" t="s">
        <v>77</v>
      </c>
      <c r="K14" s="37" t="s">
        <v>34</v>
      </c>
      <c r="L14" s="25">
        <f>+M14+P14+Q14</f>
        <v>1600000000</v>
      </c>
      <c r="M14" s="25">
        <f t="shared" si="0"/>
        <v>1600000000</v>
      </c>
      <c r="N14" s="25"/>
      <c r="O14" s="25">
        <v>1600000000</v>
      </c>
      <c r="P14" s="25"/>
      <c r="Q14" s="25"/>
      <c r="R14" s="28" t="s">
        <v>35</v>
      </c>
      <c r="S14" s="28" t="s">
        <v>36</v>
      </c>
      <c r="T14" s="28" t="s">
        <v>66</v>
      </c>
      <c r="U14" s="28" t="s">
        <v>78</v>
      </c>
      <c r="V14" s="28" t="s">
        <v>38</v>
      </c>
      <c r="W14" s="28" t="s">
        <v>39</v>
      </c>
      <c r="X14" s="28" t="s">
        <v>40</v>
      </c>
      <c r="Y14" s="29" t="s">
        <v>41</v>
      </c>
      <c r="Z14" s="30" t="s">
        <v>42</v>
      </c>
    </row>
    <row r="15" spans="1:26" ht="228" customHeight="1" x14ac:dyDescent="0.25">
      <c r="A15" s="17" t="s">
        <v>72</v>
      </c>
      <c r="B15" s="23" t="s">
        <v>79</v>
      </c>
      <c r="C15" s="19" t="s">
        <v>80</v>
      </c>
      <c r="D15" s="19"/>
      <c r="E15" s="20">
        <v>43889</v>
      </c>
      <c r="F15" s="28" t="s">
        <v>81</v>
      </c>
      <c r="G15" s="35">
        <v>7</v>
      </c>
      <c r="H15" s="28" t="s">
        <v>31</v>
      </c>
      <c r="I15" s="23" t="s">
        <v>32</v>
      </c>
      <c r="J15" s="36" t="s">
        <v>82</v>
      </c>
      <c r="K15" s="18" t="s">
        <v>83</v>
      </c>
      <c r="L15" s="25">
        <f t="shared" si="1"/>
        <v>4901250000</v>
      </c>
      <c r="M15" s="25">
        <f t="shared" si="0"/>
        <v>4901250000</v>
      </c>
      <c r="N15" s="25"/>
      <c r="O15" s="25">
        <f>3101250000+1800000000</f>
        <v>4901250000</v>
      </c>
      <c r="P15" s="25"/>
      <c r="Q15" s="25"/>
      <c r="R15" s="28" t="s">
        <v>35</v>
      </c>
      <c r="S15" s="28" t="s">
        <v>36</v>
      </c>
      <c r="T15" s="28" t="s">
        <v>66</v>
      </c>
      <c r="U15" s="28" t="s">
        <v>78</v>
      </c>
      <c r="V15" s="28" t="s">
        <v>38</v>
      </c>
      <c r="W15" s="28" t="s">
        <v>39</v>
      </c>
      <c r="X15" s="28" t="s">
        <v>40</v>
      </c>
      <c r="Y15" s="29" t="s">
        <v>84</v>
      </c>
      <c r="Z15" s="30" t="s">
        <v>42</v>
      </c>
    </row>
    <row r="16" spans="1:26" ht="71.25" customHeight="1" x14ac:dyDescent="0.25">
      <c r="A16" s="17" t="s">
        <v>85</v>
      </c>
      <c r="B16" s="23" t="s">
        <v>86</v>
      </c>
      <c r="C16" s="19" t="s">
        <v>87</v>
      </c>
      <c r="D16" s="19"/>
      <c r="E16" s="20">
        <v>43861</v>
      </c>
      <c r="F16" s="28" t="s">
        <v>88</v>
      </c>
      <c r="G16" s="35">
        <v>10</v>
      </c>
      <c r="H16" s="22" t="s">
        <v>31</v>
      </c>
      <c r="I16" s="23" t="s">
        <v>32</v>
      </c>
      <c r="J16" s="36" t="s">
        <v>89</v>
      </c>
      <c r="K16" s="18" t="s">
        <v>34</v>
      </c>
      <c r="L16" s="25">
        <f t="shared" si="1"/>
        <v>482131187.88</v>
      </c>
      <c r="M16" s="25">
        <f t="shared" si="0"/>
        <v>482131187.88</v>
      </c>
      <c r="N16" s="25">
        <f>482131298.88-111</f>
        <v>482131187.88</v>
      </c>
      <c r="O16" s="25">
        <v>0</v>
      </c>
      <c r="P16" s="25"/>
      <c r="Q16" s="25"/>
      <c r="R16" s="28" t="s">
        <v>35</v>
      </c>
      <c r="S16" s="28" t="s">
        <v>36</v>
      </c>
      <c r="T16" s="28" t="s">
        <v>90</v>
      </c>
      <c r="U16" s="28" t="s">
        <v>91</v>
      </c>
      <c r="V16" s="28" t="s">
        <v>38</v>
      </c>
      <c r="W16" s="28" t="s">
        <v>39</v>
      </c>
      <c r="X16" s="28" t="s">
        <v>40</v>
      </c>
      <c r="Y16" s="29" t="s">
        <v>41</v>
      </c>
      <c r="Z16" s="30" t="s">
        <v>42</v>
      </c>
    </row>
    <row r="17" spans="1:26" ht="156.75" customHeight="1" x14ac:dyDescent="0.25">
      <c r="A17" s="17" t="s">
        <v>94</v>
      </c>
      <c r="B17" s="23" t="s">
        <v>95</v>
      </c>
      <c r="C17" s="19" t="s">
        <v>96</v>
      </c>
      <c r="D17" s="19"/>
      <c r="E17" s="20">
        <v>43889</v>
      </c>
      <c r="F17" s="34" t="s">
        <v>81</v>
      </c>
      <c r="G17" s="35">
        <v>6</v>
      </c>
      <c r="H17" s="22" t="s">
        <v>31</v>
      </c>
      <c r="I17" s="23" t="s">
        <v>32</v>
      </c>
      <c r="J17" s="36" t="s">
        <v>97</v>
      </c>
      <c r="K17" s="18" t="s">
        <v>98</v>
      </c>
      <c r="L17" s="25">
        <f>+M17+P17+Q17</f>
        <v>350000000</v>
      </c>
      <c r="M17" s="25">
        <f>+O17+N17</f>
        <v>350000000</v>
      </c>
      <c r="N17" s="25"/>
      <c r="O17" s="25">
        <v>350000000</v>
      </c>
      <c r="P17" s="25"/>
      <c r="Q17" s="25"/>
      <c r="R17" s="28" t="s">
        <v>35</v>
      </c>
      <c r="S17" s="28" t="s">
        <v>36</v>
      </c>
      <c r="T17" s="28" t="s">
        <v>66</v>
      </c>
      <c r="U17" s="28" t="s">
        <v>99</v>
      </c>
      <c r="V17" s="28" t="s">
        <v>100</v>
      </c>
      <c r="W17" s="28" t="s">
        <v>39</v>
      </c>
      <c r="X17" s="28" t="s">
        <v>40</v>
      </c>
      <c r="Y17" s="29" t="s">
        <v>101</v>
      </c>
      <c r="Z17" s="30" t="s">
        <v>42</v>
      </c>
    </row>
    <row r="18" spans="1:26" ht="156.75" customHeight="1" x14ac:dyDescent="0.25">
      <c r="A18" s="17" t="s">
        <v>92</v>
      </c>
      <c r="B18" s="23" t="s">
        <v>102</v>
      </c>
      <c r="C18" s="19" t="s">
        <v>103</v>
      </c>
      <c r="D18" s="19"/>
      <c r="E18" s="20">
        <v>43921</v>
      </c>
      <c r="F18" s="28" t="s">
        <v>104</v>
      </c>
      <c r="G18" s="35">
        <v>10</v>
      </c>
      <c r="H18" s="22" t="s">
        <v>31</v>
      </c>
      <c r="I18" s="23" t="s">
        <v>32</v>
      </c>
      <c r="J18" s="36" t="s">
        <v>105</v>
      </c>
      <c r="K18" s="18" t="s">
        <v>34</v>
      </c>
      <c r="L18" s="25">
        <f t="shared" si="1"/>
        <v>4452567490</v>
      </c>
      <c r="M18" s="25">
        <f t="shared" si="0"/>
        <v>3116797243</v>
      </c>
      <c r="N18" s="25">
        <f>463535700+64651618-25096747</f>
        <v>503090571</v>
      </c>
      <c r="O18" s="25">
        <f>2627017700+344794982-358106010</f>
        <v>2613706672</v>
      </c>
      <c r="P18" s="25">
        <v>1335770247</v>
      </c>
      <c r="Q18" s="25"/>
      <c r="R18" s="28" t="s">
        <v>106</v>
      </c>
      <c r="S18" s="28" t="s">
        <v>36</v>
      </c>
      <c r="T18" s="28" t="s">
        <v>66</v>
      </c>
      <c r="U18" s="28" t="s">
        <v>93</v>
      </c>
      <c r="V18" s="28" t="s">
        <v>38</v>
      </c>
      <c r="W18" s="28" t="s">
        <v>39</v>
      </c>
      <c r="X18" s="28" t="s">
        <v>40</v>
      </c>
      <c r="Y18" s="29" t="s">
        <v>41</v>
      </c>
      <c r="Z18" s="30" t="s">
        <v>42</v>
      </c>
    </row>
    <row r="19" spans="1:26" ht="157.5" customHeight="1" x14ac:dyDescent="0.25">
      <c r="A19" s="17" t="s">
        <v>94</v>
      </c>
      <c r="B19" s="23" t="s">
        <v>107</v>
      </c>
      <c r="C19" s="19" t="s">
        <v>108</v>
      </c>
      <c r="D19" s="19"/>
      <c r="E19" s="20">
        <v>44012</v>
      </c>
      <c r="F19" s="28" t="s">
        <v>50</v>
      </c>
      <c r="G19" s="35">
        <v>7</v>
      </c>
      <c r="H19" s="22" t="s">
        <v>31</v>
      </c>
      <c r="I19" s="23" t="s">
        <v>32</v>
      </c>
      <c r="J19" s="36" t="s">
        <v>109</v>
      </c>
      <c r="K19" s="18" t="s">
        <v>110</v>
      </c>
      <c r="L19" s="25">
        <f t="shared" si="1"/>
        <v>306074960</v>
      </c>
      <c r="M19" s="25">
        <f t="shared" si="0"/>
        <v>306074960</v>
      </c>
      <c r="N19" s="25">
        <f>306074960</f>
        <v>306074960</v>
      </c>
      <c r="O19" s="25"/>
      <c r="P19" s="25"/>
      <c r="Q19" s="25"/>
      <c r="R19" s="28" t="s">
        <v>35</v>
      </c>
      <c r="S19" s="28" t="s">
        <v>36</v>
      </c>
      <c r="T19" s="28"/>
      <c r="U19" s="28" t="s">
        <v>99</v>
      </c>
      <c r="V19" s="28" t="s">
        <v>38</v>
      </c>
      <c r="W19" s="28" t="s">
        <v>39</v>
      </c>
      <c r="X19" s="28" t="s">
        <v>40</v>
      </c>
      <c r="Y19" s="29" t="s">
        <v>41</v>
      </c>
      <c r="Z19" s="30" t="s">
        <v>42</v>
      </c>
    </row>
    <row r="20" spans="1:26" ht="86.25" customHeight="1" x14ac:dyDescent="0.25">
      <c r="A20" s="17" t="s">
        <v>92</v>
      </c>
      <c r="B20" s="23" t="s">
        <v>107</v>
      </c>
      <c r="C20" s="19" t="s">
        <v>111</v>
      </c>
      <c r="D20" s="33"/>
      <c r="E20" s="20">
        <v>44043</v>
      </c>
      <c r="F20" s="28" t="s">
        <v>30</v>
      </c>
      <c r="G20" s="35">
        <v>5</v>
      </c>
      <c r="H20" s="22" t="s">
        <v>31</v>
      </c>
      <c r="I20" s="23" t="s">
        <v>32</v>
      </c>
      <c r="J20" s="36" t="s">
        <v>112</v>
      </c>
      <c r="K20" s="18" t="s">
        <v>110</v>
      </c>
      <c r="L20" s="25">
        <f t="shared" si="1"/>
        <v>1559119960</v>
      </c>
      <c r="M20" s="25">
        <f t="shared" si="0"/>
        <v>1559119960</v>
      </c>
      <c r="N20" s="25">
        <f>559119960+500000000</f>
        <v>1059119960</v>
      </c>
      <c r="O20" s="25">
        <v>500000000</v>
      </c>
      <c r="P20" s="38"/>
      <c r="Q20" s="25"/>
      <c r="R20" s="28" t="s">
        <v>35</v>
      </c>
      <c r="S20" s="28" t="s">
        <v>36</v>
      </c>
      <c r="T20" s="28"/>
      <c r="U20" s="28" t="s">
        <v>99</v>
      </c>
      <c r="V20" s="28" t="s">
        <v>38</v>
      </c>
      <c r="W20" s="28" t="s">
        <v>39</v>
      </c>
      <c r="X20" s="28" t="s">
        <v>40</v>
      </c>
      <c r="Y20" s="29" t="s">
        <v>41</v>
      </c>
      <c r="Z20" s="39" t="s">
        <v>42</v>
      </c>
    </row>
    <row r="21" spans="1:26" ht="144.75" customHeight="1" x14ac:dyDescent="0.25">
      <c r="A21" s="17" t="s">
        <v>28</v>
      </c>
      <c r="B21" s="23" t="s">
        <v>113</v>
      </c>
      <c r="C21" s="19" t="s">
        <v>114</v>
      </c>
      <c r="D21" s="33">
        <v>44284</v>
      </c>
      <c r="E21" s="20">
        <v>43889</v>
      </c>
      <c r="F21" s="21" t="s">
        <v>81</v>
      </c>
      <c r="G21" s="35">
        <v>8</v>
      </c>
      <c r="H21" s="28" t="s">
        <v>31</v>
      </c>
      <c r="I21" s="23" t="s">
        <v>115</v>
      </c>
      <c r="J21" s="36" t="s">
        <v>116</v>
      </c>
      <c r="K21" s="18" t="s">
        <v>117</v>
      </c>
      <c r="L21" s="25">
        <f t="shared" si="1"/>
        <v>259314777</v>
      </c>
      <c r="M21" s="25">
        <f t="shared" si="0"/>
        <v>259314777</v>
      </c>
      <c r="N21" s="25">
        <v>259314777</v>
      </c>
      <c r="O21" s="25"/>
      <c r="P21" s="38"/>
      <c r="Q21" s="25"/>
      <c r="R21" s="28" t="s">
        <v>35</v>
      </c>
      <c r="S21" s="28" t="s">
        <v>36</v>
      </c>
      <c r="T21" s="28" t="s">
        <v>90</v>
      </c>
      <c r="U21" s="28" t="s">
        <v>118</v>
      </c>
      <c r="V21" s="28" t="s">
        <v>38</v>
      </c>
      <c r="W21" s="28" t="s">
        <v>39</v>
      </c>
      <c r="X21" s="28" t="s">
        <v>40</v>
      </c>
      <c r="Y21" s="29" t="s">
        <v>41</v>
      </c>
      <c r="Z21" s="39" t="s">
        <v>42</v>
      </c>
    </row>
    <row r="22" spans="1:26" ht="144.75" customHeight="1" x14ac:dyDescent="0.25">
      <c r="A22" s="17" t="s">
        <v>92</v>
      </c>
      <c r="B22" s="23">
        <v>80111500</v>
      </c>
      <c r="C22" s="19" t="s">
        <v>119</v>
      </c>
      <c r="D22" s="19"/>
      <c r="E22" s="20">
        <v>43889</v>
      </c>
      <c r="F22" s="28" t="s">
        <v>81</v>
      </c>
      <c r="G22" s="35">
        <v>5</v>
      </c>
      <c r="H22" s="22" t="s">
        <v>31</v>
      </c>
      <c r="I22" s="23" t="s">
        <v>32</v>
      </c>
      <c r="J22" s="36" t="s">
        <v>120</v>
      </c>
      <c r="K22" s="18" t="s">
        <v>34</v>
      </c>
      <c r="L22" s="25">
        <f t="shared" si="1"/>
        <v>500000000</v>
      </c>
      <c r="M22" s="25">
        <f t="shared" si="0"/>
        <v>500000000</v>
      </c>
      <c r="N22" s="25"/>
      <c r="O22" s="25">
        <v>500000000</v>
      </c>
      <c r="P22" s="25"/>
      <c r="Q22" s="25"/>
      <c r="R22" s="28" t="s">
        <v>35</v>
      </c>
      <c r="S22" s="28" t="s">
        <v>36</v>
      </c>
      <c r="T22" s="28"/>
      <c r="U22" s="28" t="s">
        <v>121</v>
      </c>
      <c r="V22" s="28" t="s">
        <v>38</v>
      </c>
      <c r="W22" s="28" t="s">
        <v>39</v>
      </c>
      <c r="X22" s="28" t="s">
        <v>40</v>
      </c>
      <c r="Y22" s="29" t="s">
        <v>41</v>
      </c>
      <c r="Z22" s="30" t="s">
        <v>42</v>
      </c>
    </row>
    <row r="23" spans="1:26" ht="71.25" customHeight="1" x14ac:dyDescent="0.25">
      <c r="A23" s="17" t="s">
        <v>122</v>
      </c>
      <c r="B23" s="23">
        <v>80111500</v>
      </c>
      <c r="C23" s="19" t="s">
        <v>123</v>
      </c>
      <c r="D23" s="19"/>
      <c r="E23" s="20"/>
      <c r="F23" s="28"/>
      <c r="G23" s="35"/>
      <c r="H23" s="28"/>
      <c r="I23" s="23" t="s">
        <v>32</v>
      </c>
      <c r="J23" s="36" t="s">
        <v>124</v>
      </c>
      <c r="K23" s="18" t="s">
        <v>34</v>
      </c>
      <c r="L23" s="25">
        <f>+M23+P23+Q23</f>
        <v>1674983232</v>
      </c>
      <c r="M23" s="25">
        <f t="shared" si="0"/>
        <v>1674983232</v>
      </c>
      <c r="N23" s="25">
        <v>0</v>
      </c>
      <c r="O23" s="25">
        <f>1674983232</f>
        <v>1674983232</v>
      </c>
      <c r="P23" s="25"/>
      <c r="Q23" s="25"/>
      <c r="R23" s="28" t="s">
        <v>35</v>
      </c>
      <c r="S23" s="28" t="s">
        <v>36</v>
      </c>
      <c r="T23" s="28" t="s">
        <v>90</v>
      </c>
      <c r="U23" s="28" t="s">
        <v>125</v>
      </c>
      <c r="V23" s="28" t="s">
        <v>38</v>
      </c>
      <c r="W23" s="28" t="s">
        <v>39</v>
      </c>
      <c r="X23" s="28" t="s">
        <v>40</v>
      </c>
      <c r="Y23" s="29" t="s">
        <v>41</v>
      </c>
      <c r="Z23" s="30" t="s">
        <v>42</v>
      </c>
    </row>
    <row r="24" spans="1:26" ht="129.75" customHeight="1" x14ac:dyDescent="0.25">
      <c r="A24" s="17" t="s">
        <v>122</v>
      </c>
      <c r="B24" s="18">
        <v>80111500</v>
      </c>
      <c r="C24" s="19" t="s">
        <v>126</v>
      </c>
      <c r="D24" s="19"/>
      <c r="E24" s="20"/>
      <c r="F24" s="28"/>
      <c r="G24" s="35"/>
      <c r="H24" s="28"/>
      <c r="I24" s="23" t="s">
        <v>32</v>
      </c>
      <c r="J24" s="36" t="s">
        <v>127</v>
      </c>
      <c r="K24" s="23" t="s">
        <v>128</v>
      </c>
      <c r="L24" s="25">
        <f t="shared" si="1"/>
        <v>43102462611</v>
      </c>
      <c r="M24" s="25">
        <f t="shared" si="0"/>
        <v>43102462611</v>
      </c>
      <c r="N24" s="25">
        <v>14890994008</v>
      </c>
      <c r="O24" s="25">
        <v>28211468603</v>
      </c>
      <c r="P24" s="25"/>
      <c r="Q24" s="25"/>
      <c r="R24" s="28" t="s">
        <v>35</v>
      </c>
      <c r="S24" s="28" t="s">
        <v>36</v>
      </c>
      <c r="T24" s="28" t="s">
        <v>90</v>
      </c>
      <c r="U24" s="28" t="s">
        <v>129</v>
      </c>
      <c r="V24" s="28" t="s">
        <v>38</v>
      </c>
      <c r="W24" s="28" t="s">
        <v>39</v>
      </c>
      <c r="X24" s="28" t="s">
        <v>40</v>
      </c>
      <c r="Y24" s="29" t="s">
        <v>41</v>
      </c>
      <c r="Z24" s="30" t="s">
        <v>42</v>
      </c>
    </row>
    <row r="25" spans="1:26" ht="141" customHeight="1" x14ac:dyDescent="0.25">
      <c r="A25" s="17" t="s">
        <v>28</v>
      </c>
      <c r="B25" s="23" t="s">
        <v>130</v>
      </c>
      <c r="C25" s="19" t="s">
        <v>131</v>
      </c>
      <c r="D25" s="19"/>
      <c r="E25" s="20">
        <v>43889</v>
      </c>
      <c r="F25" s="34" t="s">
        <v>50</v>
      </c>
      <c r="G25" s="35">
        <v>8</v>
      </c>
      <c r="H25" s="28" t="s">
        <v>31</v>
      </c>
      <c r="I25" s="23" t="s">
        <v>132</v>
      </c>
      <c r="J25" s="36" t="s">
        <v>133</v>
      </c>
      <c r="K25" s="18" t="s">
        <v>134</v>
      </c>
      <c r="L25" s="25">
        <f t="shared" si="1"/>
        <v>2205618590</v>
      </c>
      <c r="M25" s="25">
        <f t="shared" si="0"/>
        <v>2205618590</v>
      </c>
      <c r="N25" s="25">
        <f>450000000+200000000</f>
        <v>650000000</v>
      </c>
      <c r="O25" s="25">
        <f>1210000000+160000000+200000000-(5329065+9052345)</f>
        <v>1555618590</v>
      </c>
      <c r="P25" s="25"/>
      <c r="Q25" s="25"/>
      <c r="R25" s="28" t="s">
        <v>35</v>
      </c>
      <c r="S25" s="28" t="s">
        <v>36</v>
      </c>
      <c r="T25" s="28" t="s">
        <v>66</v>
      </c>
      <c r="U25" s="28" t="s">
        <v>125</v>
      </c>
      <c r="V25" s="28" t="s">
        <v>38</v>
      </c>
      <c r="W25" s="28" t="s">
        <v>39</v>
      </c>
      <c r="X25" s="28" t="s">
        <v>40</v>
      </c>
      <c r="Y25" s="29" t="s">
        <v>135</v>
      </c>
      <c r="Z25" s="30" t="s">
        <v>42</v>
      </c>
    </row>
    <row r="26" spans="1:26" ht="51" customHeight="1" x14ac:dyDescent="0.25">
      <c r="A26" s="17" t="s">
        <v>136</v>
      </c>
      <c r="B26" s="18">
        <v>80111500</v>
      </c>
      <c r="C26" s="48" t="s">
        <v>137</v>
      </c>
      <c r="D26" s="48"/>
      <c r="E26" s="20"/>
      <c r="F26" s="28" t="s">
        <v>138</v>
      </c>
      <c r="G26" s="35">
        <v>12</v>
      </c>
      <c r="H26" s="28" t="s">
        <v>31</v>
      </c>
      <c r="I26" s="23" t="s">
        <v>32</v>
      </c>
      <c r="J26" s="48" t="s">
        <v>139</v>
      </c>
      <c r="K26" s="18" t="s">
        <v>34</v>
      </c>
      <c r="L26" s="25">
        <f t="shared" si="1"/>
        <v>3152211545</v>
      </c>
      <c r="M26" s="25">
        <f t="shared" si="0"/>
        <v>3152211545</v>
      </c>
      <c r="N26" s="25">
        <f>5848352092-57973271-61147717-2740320-36910000-4313830381-36910000</f>
        <v>1338840403</v>
      </c>
      <c r="O26" s="25">
        <f>4125719100+502428853-2814776811</f>
        <v>1813371142</v>
      </c>
      <c r="P26" s="25"/>
      <c r="Q26" s="25"/>
      <c r="R26" s="28" t="s">
        <v>35</v>
      </c>
      <c r="S26" s="28" t="s">
        <v>36</v>
      </c>
      <c r="T26" s="28" t="s">
        <v>90</v>
      </c>
      <c r="U26" s="28" t="s">
        <v>129</v>
      </c>
      <c r="V26" s="28" t="s">
        <v>38</v>
      </c>
      <c r="W26" s="28" t="s">
        <v>39</v>
      </c>
      <c r="X26" s="28" t="s">
        <v>40</v>
      </c>
      <c r="Y26" s="29" t="s">
        <v>135</v>
      </c>
      <c r="Z26" s="30" t="s">
        <v>42</v>
      </c>
    </row>
    <row r="27" spans="1:26" ht="85.5" customHeight="1" x14ac:dyDescent="0.25">
      <c r="A27" s="17" t="s">
        <v>140</v>
      </c>
      <c r="B27" s="18" t="s">
        <v>141</v>
      </c>
      <c r="C27" s="19" t="s">
        <v>142</v>
      </c>
      <c r="D27" s="33">
        <v>44150</v>
      </c>
      <c r="E27" s="20"/>
      <c r="F27" s="21" t="s">
        <v>138</v>
      </c>
      <c r="G27" s="35">
        <v>12</v>
      </c>
      <c r="H27" s="40" t="s">
        <v>31</v>
      </c>
      <c r="I27" s="23" t="s">
        <v>46</v>
      </c>
      <c r="J27" s="28" t="s">
        <v>143</v>
      </c>
      <c r="K27" s="23" t="s">
        <v>144</v>
      </c>
      <c r="L27" s="25">
        <f t="shared" si="1"/>
        <v>6172217489</v>
      </c>
      <c r="M27" s="25">
        <f t="shared" si="0"/>
        <v>6172217489</v>
      </c>
      <c r="N27" s="25">
        <f>(697977588+4645071984)-157451069</f>
        <v>5185598503</v>
      </c>
      <c r="O27" s="25">
        <f>829167917+157451069</f>
        <v>986618986</v>
      </c>
      <c r="P27" s="25"/>
      <c r="Q27" s="25"/>
      <c r="R27" s="28" t="s">
        <v>35</v>
      </c>
      <c r="S27" s="28" t="s">
        <v>36</v>
      </c>
      <c r="T27" s="28" t="s">
        <v>48</v>
      </c>
      <c r="U27" s="28" t="s">
        <v>145</v>
      </c>
      <c r="V27" s="28" t="s">
        <v>38</v>
      </c>
      <c r="W27" s="28" t="s">
        <v>39</v>
      </c>
      <c r="X27" s="28" t="s">
        <v>40</v>
      </c>
      <c r="Y27" s="29" t="s">
        <v>101</v>
      </c>
      <c r="Z27" s="30" t="s">
        <v>42</v>
      </c>
    </row>
    <row r="28" spans="1:26" ht="85.5" customHeight="1" x14ac:dyDescent="0.25">
      <c r="A28" s="17" t="s">
        <v>140</v>
      </c>
      <c r="B28" s="18" t="s">
        <v>141</v>
      </c>
      <c r="C28" s="19" t="s">
        <v>146</v>
      </c>
      <c r="D28" s="33" t="s">
        <v>147</v>
      </c>
      <c r="E28" s="20">
        <v>43983</v>
      </c>
      <c r="F28" s="21" t="s">
        <v>148</v>
      </c>
      <c r="G28" s="35">
        <v>21</v>
      </c>
      <c r="H28" s="40" t="s">
        <v>31</v>
      </c>
      <c r="I28" s="28" t="s">
        <v>132</v>
      </c>
      <c r="J28" s="28" t="s">
        <v>143</v>
      </c>
      <c r="K28" s="23" t="s">
        <v>144</v>
      </c>
      <c r="L28" s="25">
        <f t="shared" si="1"/>
        <v>13012752610</v>
      </c>
      <c r="M28" s="25">
        <f t="shared" si="0"/>
        <v>873171049</v>
      </c>
      <c r="N28" s="25">
        <v>329531267</v>
      </c>
      <c r="O28" s="25">
        <v>543639782</v>
      </c>
      <c r="P28" s="25">
        <v>7474344768</v>
      </c>
      <c r="Q28" s="25">
        <v>4665236793</v>
      </c>
      <c r="R28" s="28" t="s">
        <v>106</v>
      </c>
      <c r="S28" s="28" t="s">
        <v>36</v>
      </c>
      <c r="T28" s="28"/>
      <c r="U28" s="28" t="s">
        <v>145</v>
      </c>
      <c r="V28" s="28" t="s">
        <v>38</v>
      </c>
      <c r="W28" s="28" t="s">
        <v>39</v>
      </c>
      <c r="X28" s="28" t="s">
        <v>40</v>
      </c>
      <c r="Y28" s="29" t="s">
        <v>101</v>
      </c>
      <c r="Z28" s="30" t="s">
        <v>42</v>
      </c>
    </row>
    <row r="29" spans="1:26" ht="57" customHeight="1" x14ac:dyDescent="0.25">
      <c r="A29" s="17" t="s">
        <v>140</v>
      </c>
      <c r="B29" s="18">
        <v>92101501</v>
      </c>
      <c r="C29" s="19" t="s">
        <v>149</v>
      </c>
      <c r="D29" s="33">
        <v>44165</v>
      </c>
      <c r="E29" s="20"/>
      <c r="F29" s="21"/>
      <c r="G29" s="35">
        <v>12</v>
      </c>
      <c r="H29" s="40" t="s">
        <v>31</v>
      </c>
      <c r="I29" s="23" t="s">
        <v>46</v>
      </c>
      <c r="J29" s="28" t="s">
        <v>150</v>
      </c>
      <c r="K29" s="23" t="s">
        <v>34</v>
      </c>
      <c r="L29" s="25">
        <f t="shared" si="1"/>
        <v>1462289151</v>
      </c>
      <c r="M29" s="25">
        <f t="shared" si="0"/>
        <v>1462289151</v>
      </c>
      <c r="N29" s="25">
        <v>784531275</v>
      </c>
      <c r="O29" s="25">
        <v>677757876</v>
      </c>
      <c r="P29" s="25"/>
      <c r="Q29" s="25"/>
      <c r="R29" s="28" t="s">
        <v>35</v>
      </c>
      <c r="S29" s="28" t="s">
        <v>36</v>
      </c>
      <c r="T29" s="28" t="s">
        <v>48</v>
      </c>
      <c r="U29" s="28" t="s">
        <v>145</v>
      </c>
      <c r="V29" s="28" t="s">
        <v>38</v>
      </c>
      <c r="W29" s="28" t="s">
        <v>39</v>
      </c>
      <c r="X29" s="28" t="s">
        <v>40</v>
      </c>
      <c r="Y29" s="29" t="s">
        <v>58</v>
      </c>
      <c r="Z29" s="30" t="s">
        <v>42</v>
      </c>
    </row>
    <row r="30" spans="1:26" ht="42.75" customHeight="1" x14ac:dyDescent="0.25">
      <c r="A30" s="17" t="s">
        <v>140</v>
      </c>
      <c r="B30" s="18">
        <v>92101502</v>
      </c>
      <c r="C30" s="19" t="s">
        <v>151</v>
      </c>
      <c r="D30" s="19" t="s">
        <v>152</v>
      </c>
      <c r="E30" s="20">
        <v>43983</v>
      </c>
      <c r="F30" s="21" t="s">
        <v>148</v>
      </c>
      <c r="G30" s="35"/>
      <c r="H30" s="40" t="s">
        <v>31</v>
      </c>
      <c r="I30" s="19" t="s">
        <v>51</v>
      </c>
      <c r="J30" s="28" t="s">
        <v>150</v>
      </c>
      <c r="K30" s="23" t="s">
        <v>98</v>
      </c>
      <c r="L30" s="25">
        <f t="shared" si="1"/>
        <v>1659148168</v>
      </c>
      <c r="M30" s="25">
        <f>+O30+N30</f>
        <v>134561896</v>
      </c>
      <c r="N30" s="25">
        <v>54710174</v>
      </c>
      <c r="O30" s="25">
        <v>79851722</v>
      </c>
      <c r="P30" s="25">
        <v>1524586272</v>
      </c>
      <c r="Q30" s="25"/>
      <c r="R30" s="28" t="s">
        <v>106</v>
      </c>
      <c r="S30" s="28" t="s">
        <v>36</v>
      </c>
      <c r="T30" s="28"/>
      <c r="U30" s="28" t="s">
        <v>145</v>
      </c>
      <c r="V30" s="28" t="s">
        <v>38</v>
      </c>
      <c r="W30" s="28" t="s">
        <v>39</v>
      </c>
      <c r="X30" s="28" t="s">
        <v>40</v>
      </c>
      <c r="Y30" s="29" t="s">
        <v>153</v>
      </c>
      <c r="Z30" s="30" t="s">
        <v>42</v>
      </c>
    </row>
    <row r="31" spans="1:26" s="6" customFormat="1" ht="42.75" customHeight="1" x14ac:dyDescent="0.25">
      <c r="A31" s="17" t="s">
        <v>154</v>
      </c>
      <c r="B31" s="18">
        <v>81112006</v>
      </c>
      <c r="C31" s="19" t="s">
        <v>155</v>
      </c>
      <c r="D31" s="33">
        <v>44074</v>
      </c>
      <c r="E31" s="20"/>
      <c r="F31" s="21"/>
      <c r="G31" s="35"/>
      <c r="H31" s="22"/>
      <c r="I31" s="23" t="s">
        <v>46</v>
      </c>
      <c r="J31" s="23" t="s">
        <v>156</v>
      </c>
      <c r="K31" s="41" t="s">
        <v>34</v>
      </c>
      <c r="L31" s="25">
        <f t="shared" si="1"/>
        <v>911090463</v>
      </c>
      <c r="M31" s="25">
        <f t="shared" si="0"/>
        <v>911090463</v>
      </c>
      <c r="N31" s="25">
        <f>ROUND((618909239+297032146)*0.65,0)-3153099</f>
        <v>592208801</v>
      </c>
      <c r="O31" s="25">
        <f>ROUND((618909239+297032146)*0.35,0)-1697823</f>
        <v>318881662</v>
      </c>
      <c r="P31" s="25"/>
      <c r="Q31" s="25"/>
      <c r="R31" s="28" t="s">
        <v>35</v>
      </c>
      <c r="S31" s="28" t="s">
        <v>36</v>
      </c>
      <c r="T31" s="28" t="s">
        <v>48</v>
      </c>
      <c r="U31" s="28" t="s">
        <v>157</v>
      </c>
      <c r="V31" s="28" t="s">
        <v>158</v>
      </c>
      <c r="W31" s="28" t="s">
        <v>39</v>
      </c>
      <c r="X31" s="28" t="s">
        <v>40</v>
      </c>
      <c r="Y31" s="29" t="s">
        <v>159</v>
      </c>
      <c r="Z31" s="39" t="s">
        <v>42</v>
      </c>
    </row>
    <row r="32" spans="1:26" s="6" customFormat="1" ht="57" customHeight="1" x14ac:dyDescent="0.25">
      <c r="A32" s="17" t="s">
        <v>154</v>
      </c>
      <c r="B32" s="18">
        <v>81112006</v>
      </c>
      <c r="C32" s="102" t="s">
        <v>160</v>
      </c>
      <c r="D32" s="33"/>
      <c r="E32" s="20">
        <v>43921</v>
      </c>
      <c r="F32" s="21" t="s">
        <v>75</v>
      </c>
      <c r="G32" s="35">
        <v>24</v>
      </c>
      <c r="H32" s="22" t="s">
        <v>31</v>
      </c>
      <c r="I32" s="19" t="s">
        <v>161</v>
      </c>
      <c r="J32" s="23" t="s">
        <v>156</v>
      </c>
      <c r="K32" s="41" t="s">
        <v>34</v>
      </c>
      <c r="L32" s="25">
        <f t="shared" si="1"/>
        <v>9005649595</v>
      </c>
      <c r="M32" s="25">
        <f t="shared" si="0"/>
        <v>1830280033</v>
      </c>
      <c r="N32" s="25">
        <f>322818686+866863335</f>
        <v>1189682021</v>
      </c>
      <c r="O32" s="25">
        <f>173825446+466772566</f>
        <v>640598012</v>
      </c>
      <c r="P32" s="25">
        <v>4604515227</v>
      </c>
      <c r="Q32" s="25">
        <v>2570854335</v>
      </c>
      <c r="R32" s="28" t="s">
        <v>106</v>
      </c>
      <c r="S32" s="28" t="s">
        <v>162</v>
      </c>
      <c r="T32" s="28" t="s">
        <v>66</v>
      </c>
      <c r="U32" s="28" t="s">
        <v>157</v>
      </c>
      <c r="V32" s="28" t="s">
        <v>158</v>
      </c>
      <c r="W32" s="28" t="s">
        <v>39</v>
      </c>
      <c r="X32" s="28" t="s">
        <v>40</v>
      </c>
      <c r="Y32" s="29" t="s">
        <v>159</v>
      </c>
      <c r="Z32" s="39" t="s">
        <v>42</v>
      </c>
    </row>
    <row r="33" spans="1:26" s="6" customFormat="1" ht="42.75" customHeight="1" x14ac:dyDescent="0.25">
      <c r="A33" s="17" t="s">
        <v>154</v>
      </c>
      <c r="B33" s="18">
        <v>81112006</v>
      </c>
      <c r="C33" s="19" t="s">
        <v>163</v>
      </c>
      <c r="D33" s="33">
        <v>44064</v>
      </c>
      <c r="E33" s="20"/>
      <c r="F33" s="21"/>
      <c r="G33" s="35"/>
      <c r="H33" s="22"/>
      <c r="I33" s="23" t="s">
        <v>46</v>
      </c>
      <c r="J33" s="23" t="s">
        <v>156</v>
      </c>
      <c r="K33" s="41" t="s">
        <v>34</v>
      </c>
      <c r="L33" s="25">
        <f t="shared" si="1"/>
        <v>490746490</v>
      </c>
      <c r="M33" s="25">
        <f t="shared" si="0"/>
        <v>490746490</v>
      </c>
      <c r="N33" s="25">
        <f>+ROUND((487894288)*0.65,0)+1853937-9</f>
        <v>318985215</v>
      </c>
      <c r="O33" s="25">
        <f>+ROUND((487894288)*0.35,0)+998274</f>
        <v>171761275</v>
      </c>
      <c r="P33" s="25"/>
      <c r="Q33" s="25"/>
      <c r="R33" s="28" t="s">
        <v>35</v>
      </c>
      <c r="S33" s="28" t="s">
        <v>36</v>
      </c>
      <c r="T33" s="28" t="s">
        <v>48</v>
      </c>
      <c r="U33" s="28" t="s">
        <v>157</v>
      </c>
      <c r="V33" s="28" t="s">
        <v>158</v>
      </c>
      <c r="W33" s="28" t="s">
        <v>39</v>
      </c>
      <c r="X33" s="28" t="s">
        <v>40</v>
      </c>
      <c r="Y33" s="29" t="s">
        <v>159</v>
      </c>
      <c r="Z33" s="39" t="s">
        <v>42</v>
      </c>
    </row>
    <row r="34" spans="1:26" s="6" customFormat="1" ht="42.75" customHeight="1" x14ac:dyDescent="0.25">
      <c r="A34" s="17" t="s">
        <v>154</v>
      </c>
      <c r="B34" s="18">
        <v>81112006</v>
      </c>
      <c r="C34" s="19" t="s">
        <v>164</v>
      </c>
      <c r="D34" s="33"/>
      <c r="E34" s="20">
        <v>44043</v>
      </c>
      <c r="F34" s="21"/>
      <c r="G34" s="35"/>
      <c r="H34" s="22"/>
      <c r="I34" s="23" t="s">
        <v>115</v>
      </c>
      <c r="J34" s="23" t="s">
        <v>156</v>
      </c>
      <c r="K34" s="41" t="s">
        <v>34</v>
      </c>
      <c r="L34" s="25">
        <f>+M34+P34+Q34</f>
        <v>264547789</v>
      </c>
      <c r="M34" s="25">
        <f t="shared" si="0"/>
        <v>264547789</v>
      </c>
      <c r="N34" s="25">
        <f>78366063</f>
        <v>78366063</v>
      </c>
      <c r="O34" s="25">
        <v>186181726</v>
      </c>
      <c r="P34" s="25"/>
      <c r="Q34" s="25"/>
      <c r="R34" s="28" t="s">
        <v>35</v>
      </c>
      <c r="S34" s="28" t="s">
        <v>36</v>
      </c>
      <c r="T34" s="28"/>
      <c r="U34" s="28" t="s">
        <v>157</v>
      </c>
      <c r="V34" s="28" t="s">
        <v>158</v>
      </c>
      <c r="W34" s="28" t="s">
        <v>39</v>
      </c>
      <c r="X34" s="28" t="s">
        <v>40</v>
      </c>
      <c r="Y34" s="29" t="s">
        <v>159</v>
      </c>
      <c r="Z34" s="39" t="s">
        <v>42</v>
      </c>
    </row>
    <row r="35" spans="1:26" s="6" customFormat="1" ht="60" customHeight="1" x14ac:dyDescent="0.25">
      <c r="A35" s="17" t="s">
        <v>154</v>
      </c>
      <c r="B35" s="18">
        <v>81112006</v>
      </c>
      <c r="C35" s="42" t="s">
        <v>165</v>
      </c>
      <c r="D35" s="33"/>
      <c r="E35" s="20">
        <v>44071</v>
      </c>
      <c r="F35" s="21" t="s">
        <v>148</v>
      </c>
      <c r="G35" s="35">
        <v>20</v>
      </c>
      <c r="H35" s="22" t="s">
        <v>31</v>
      </c>
      <c r="I35" s="23" t="s">
        <v>161</v>
      </c>
      <c r="J35" s="23" t="s">
        <v>156</v>
      </c>
      <c r="K35" s="41" t="s">
        <v>34</v>
      </c>
      <c r="L35" s="25">
        <f t="shared" si="1"/>
        <v>7325032971</v>
      </c>
      <c r="M35" s="25">
        <f t="shared" si="0"/>
        <v>129982000</v>
      </c>
      <c r="N35" s="25">
        <v>38982000</v>
      </c>
      <c r="O35" s="25">
        <v>91000000</v>
      </c>
      <c r="P35" s="25">
        <f>760190280+3784052439</f>
        <v>4544242719</v>
      </c>
      <c r="Q35" s="25">
        <f>443444330+2207363922</f>
        <v>2650808252</v>
      </c>
      <c r="R35" s="28" t="s">
        <v>166</v>
      </c>
      <c r="S35" s="28" t="s">
        <v>162</v>
      </c>
      <c r="T35" s="28"/>
      <c r="U35" s="28" t="s">
        <v>157</v>
      </c>
      <c r="V35" s="28" t="s">
        <v>158</v>
      </c>
      <c r="W35" s="28" t="s">
        <v>39</v>
      </c>
      <c r="X35" s="28" t="s">
        <v>40</v>
      </c>
      <c r="Y35" s="29" t="s">
        <v>159</v>
      </c>
      <c r="Z35" s="39" t="s">
        <v>42</v>
      </c>
    </row>
    <row r="36" spans="1:26" s="6" customFormat="1" ht="57" customHeight="1" x14ac:dyDescent="0.25">
      <c r="A36" s="17" t="s">
        <v>154</v>
      </c>
      <c r="B36" s="43">
        <v>43211500</v>
      </c>
      <c r="C36" s="19" t="s">
        <v>167</v>
      </c>
      <c r="D36" s="19"/>
      <c r="E36" s="20">
        <v>43875</v>
      </c>
      <c r="F36" s="34" t="s">
        <v>75</v>
      </c>
      <c r="G36" s="35">
        <v>45</v>
      </c>
      <c r="H36" s="22" t="s">
        <v>168</v>
      </c>
      <c r="I36" s="19" t="s">
        <v>161</v>
      </c>
      <c r="J36" s="23" t="s">
        <v>169</v>
      </c>
      <c r="K36" s="23" t="s">
        <v>34</v>
      </c>
      <c r="L36" s="25">
        <f>+M36+P36+Q36</f>
        <v>267620408</v>
      </c>
      <c r="M36" s="25">
        <f t="shared" si="0"/>
        <v>267620408</v>
      </c>
      <c r="N36" s="41">
        <f>276250000-102296734</f>
        <v>173953266</v>
      </c>
      <c r="O36" s="25">
        <f>148750000-55082858</f>
        <v>93667142</v>
      </c>
      <c r="P36" s="44"/>
      <c r="Q36" s="44"/>
      <c r="R36" s="28" t="s">
        <v>35</v>
      </c>
      <c r="S36" s="28" t="s">
        <v>36</v>
      </c>
      <c r="T36" s="28" t="s">
        <v>90</v>
      </c>
      <c r="U36" s="28" t="s">
        <v>170</v>
      </c>
      <c r="V36" s="28" t="s">
        <v>158</v>
      </c>
      <c r="W36" s="28" t="s">
        <v>39</v>
      </c>
      <c r="X36" s="28" t="s">
        <v>40</v>
      </c>
      <c r="Y36" s="29" t="s">
        <v>159</v>
      </c>
      <c r="Z36" s="39" t="s">
        <v>42</v>
      </c>
    </row>
    <row r="37" spans="1:26" s="6" customFormat="1" ht="57" customHeight="1" x14ac:dyDescent="0.25">
      <c r="A37" s="17" t="s">
        <v>154</v>
      </c>
      <c r="B37" s="43">
        <v>43211500</v>
      </c>
      <c r="C37" s="19" t="s">
        <v>172</v>
      </c>
      <c r="D37" s="19"/>
      <c r="E37" s="20">
        <v>43875</v>
      </c>
      <c r="F37" s="34" t="s">
        <v>75</v>
      </c>
      <c r="G37" s="35">
        <v>45</v>
      </c>
      <c r="H37" s="22" t="s">
        <v>168</v>
      </c>
      <c r="I37" s="19" t="s">
        <v>161</v>
      </c>
      <c r="J37" s="23" t="s">
        <v>169</v>
      </c>
      <c r="K37" s="23" t="s">
        <v>34</v>
      </c>
      <c r="L37" s="25">
        <f t="shared" si="1"/>
        <v>41890072</v>
      </c>
      <c r="M37" s="25">
        <f t="shared" si="0"/>
        <v>41890072</v>
      </c>
      <c r="N37" s="41">
        <f>34450000-7221453</f>
        <v>27228547</v>
      </c>
      <c r="O37" s="25">
        <f>18550000-3888475</f>
        <v>14661525</v>
      </c>
      <c r="P37" s="38"/>
      <c r="Q37" s="44"/>
      <c r="R37" s="28" t="s">
        <v>35</v>
      </c>
      <c r="S37" s="28" t="s">
        <v>36</v>
      </c>
      <c r="T37" s="28" t="s">
        <v>90</v>
      </c>
      <c r="U37" s="28" t="s">
        <v>170</v>
      </c>
      <c r="V37" s="28" t="s">
        <v>158</v>
      </c>
      <c r="W37" s="28" t="s">
        <v>39</v>
      </c>
      <c r="X37" s="28" t="s">
        <v>40</v>
      </c>
      <c r="Y37" s="29" t="s">
        <v>159</v>
      </c>
      <c r="Z37" s="39" t="s">
        <v>42</v>
      </c>
    </row>
    <row r="38" spans="1:26" s="6" customFormat="1" ht="57" customHeight="1" x14ac:dyDescent="0.25">
      <c r="A38" s="17" t="s">
        <v>154</v>
      </c>
      <c r="B38" s="43">
        <v>43211500</v>
      </c>
      <c r="C38" s="19" t="s">
        <v>173</v>
      </c>
      <c r="D38" s="19"/>
      <c r="E38" s="20">
        <v>43875</v>
      </c>
      <c r="F38" s="34" t="s">
        <v>75</v>
      </c>
      <c r="G38" s="35">
        <v>45</v>
      </c>
      <c r="H38" s="22" t="s">
        <v>168</v>
      </c>
      <c r="I38" s="19" t="s">
        <v>161</v>
      </c>
      <c r="J38" s="23" t="s">
        <v>169</v>
      </c>
      <c r="K38" s="23" t="s">
        <v>34</v>
      </c>
      <c r="L38" s="25">
        <f t="shared" si="1"/>
        <v>188597978</v>
      </c>
      <c r="M38" s="25">
        <f t="shared" si="0"/>
        <v>188597978</v>
      </c>
      <c r="N38" s="41">
        <f>149500000-26911314</f>
        <v>122588686</v>
      </c>
      <c r="O38" s="25">
        <f>80500000-14490708</f>
        <v>66009292</v>
      </c>
      <c r="P38" s="38"/>
      <c r="Q38" s="44"/>
      <c r="R38" s="28" t="s">
        <v>35</v>
      </c>
      <c r="S38" s="28" t="s">
        <v>36</v>
      </c>
      <c r="T38" s="28" t="s">
        <v>90</v>
      </c>
      <c r="U38" s="28" t="s">
        <v>170</v>
      </c>
      <c r="V38" s="28" t="s">
        <v>158</v>
      </c>
      <c r="W38" s="28" t="s">
        <v>39</v>
      </c>
      <c r="X38" s="28" t="s">
        <v>40</v>
      </c>
      <c r="Y38" s="29" t="s">
        <v>159</v>
      </c>
      <c r="Z38" s="39" t="s">
        <v>42</v>
      </c>
    </row>
    <row r="39" spans="1:26" s="6" customFormat="1" ht="57" customHeight="1" x14ac:dyDescent="0.25">
      <c r="A39" s="17" t="s">
        <v>154</v>
      </c>
      <c r="B39" s="43">
        <v>43211711</v>
      </c>
      <c r="C39" s="19" t="s">
        <v>174</v>
      </c>
      <c r="D39" s="19"/>
      <c r="E39" s="20">
        <v>43889</v>
      </c>
      <c r="F39" s="34" t="s">
        <v>75</v>
      </c>
      <c r="G39" s="46">
        <v>45</v>
      </c>
      <c r="H39" s="22" t="s">
        <v>168</v>
      </c>
      <c r="I39" s="19" t="s">
        <v>161</v>
      </c>
      <c r="J39" s="23" t="s">
        <v>169</v>
      </c>
      <c r="K39" s="23" t="s">
        <v>34</v>
      </c>
      <c r="L39" s="25">
        <f t="shared" si="1"/>
        <v>25210846</v>
      </c>
      <c r="M39" s="25">
        <f t="shared" si="0"/>
        <v>25210846</v>
      </c>
      <c r="N39" s="47">
        <f>26000000-9612949</f>
        <v>16387051</v>
      </c>
      <c r="O39" s="25">
        <f>14000000-5176205</f>
        <v>8823795</v>
      </c>
      <c r="P39" s="44"/>
      <c r="Q39" s="44"/>
      <c r="R39" s="28" t="s">
        <v>35</v>
      </c>
      <c r="S39" s="28" t="s">
        <v>36</v>
      </c>
      <c r="T39" s="28" t="s">
        <v>90</v>
      </c>
      <c r="U39" s="28" t="s">
        <v>170</v>
      </c>
      <c r="V39" s="28" t="s">
        <v>158</v>
      </c>
      <c r="W39" s="28" t="s">
        <v>39</v>
      </c>
      <c r="X39" s="28" t="s">
        <v>40</v>
      </c>
      <c r="Y39" s="29" t="s">
        <v>159</v>
      </c>
      <c r="Z39" s="39" t="s">
        <v>42</v>
      </c>
    </row>
    <row r="40" spans="1:26" s="6" customFormat="1" ht="57" customHeight="1" x14ac:dyDescent="0.25">
      <c r="A40" s="17" t="s">
        <v>154</v>
      </c>
      <c r="B40" s="43">
        <v>43212105</v>
      </c>
      <c r="C40" s="19" t="s">
        <v>175</v>
      </c>
      <c r="D40" s="19"/>
      <c r="E40" s="20">
        <v>43889</v>
      </c>
      <c r="F40" s="34" t="s">
        <v>75</v>
      </c>
      <c r="G40" s="46">
        <v>45</v>
      </c>
      <c r="H40" s="22" t="s">
        <v>168</v>
      </c>
      <c r="I40" s="19" t="s">
        <v>161</v>
      </c>
      <c r="J40" s="23" t="s">
        <v>169</v>
      </c>
      <c r="K40" s="23" t="s">
        <v>34</v>
      </c>
      <c r="L40" s="25">
        <f t="shared" si="1"/>
        <v>434771371</v>
      </c>
      <c r="M40" s="25">
        <f t="shared" si="0"/>
        <v>434771371</v>
      </c>
      <c r="N40" s="47">
        <f>510900000-228298609</f>
        <v>282601391</v>
      </c>
      <c r="O40" s="25">
        <f>275100000-122930020</f>
        <v>152169980</v>
      </c>
      <c r="P40" s="44"/>
      <c r="Q40" s="44"/>
      <c r="R40" s="28" t="s">
        <v>35</v>
      </c>
      <c r="S40" s="28" t="s">
        <v>36</v>
      </c>
      <c r="T40" s="28" t="s">
        <v>90</v>
      </c>
      <c r="U40" s="28" t="s">
        <v>170</v>
      </c>
      <c r="V40" s="28" t="s">
        <v>158</v>
      </c>
      <c r="W40" s="28" t="s">
        <v>39</v>
      </c>
      <c r="X40" s="28" t="s">
        <v>40</v>
      </c>
      <c r="Y40" s="29" t="s">
        <v>159</v>
      </c>
      <c r="Z40" s="39" t="s">
        <v>42</v>
      </c>
    </row>
    <row r="41" spans="1:26" s="6" customFormat="1" ht="42.75" customHeight="1" x14ac:dyDescent="0.25">
      <c r="A41" s="17" t="s">
        <v>154</v>
      </c>
      <c r="B41" s="43">
        <v>81112006</v>
      </c>
      <c r="C41" s="19" t="s">
        <v>176</v>
      </c>
      <c r="D41" s="19"/>
      <c r="E41" s="20">
        <v>44074</v>
      </c>
      <c r="F41" s="49" t="s">
        <v>177</v>
      </c>
      <c r="G41" s="46">
        <v>140</v>
      </c>
      <c r="H41" s="22" t="s">
        <v>27</v>
      </c>
      <c r="I41" s="19" t="s">
        <v>132</v>
      </c>
      <c r="J41" s="23" t="s">
        <v>178</v>
      </c>
      <c r="K41" s="23" t="s">
        <v>34</v>
      </c>
      <c r="L41" s="25">
        <f t="shared" si="1"/>
        <v>377878572</v>
      </c>
      <c r="M41" s="25">
        <f t="shared" si="0"/>
        <v>377878572</v>
      </c>
      <c r="N41" s="25">
        <v>113363572</v>
      </c>
      <c r="O41" s="25">
        <v>264515000</v>
      </c>
      <c r="P41" s="44"/>
      <c r="Q41" s="44"/>
      <c r="R41" s="28" t="s">
        <v>35</v>
      </c>
      <c r="S41" s="28" t="s">
        <v>36</v>
      </c>
      <c r="T41" s="28"/>
      <c r="U41" s="28" t="s">
        <v>179</v>
      </c>
      <c r="V41" s="28" t="s">
        <v>158</v>
      </c>
      <c r="W41" s="28" t="s">
        <v>39</v>
      </c>
      <c r="X41" s="28" t="s">
        <v>40</v>
      </c>
      <c r="Y41" s="29" t="s">
        <v>159</v>
      </c>
      <c r="Z41" s="39" t="s">
        <v>42</v>
      </c>
    </row>
    <row r="42" spans="1:26" s="6" customFormat="1" ht="57" customHeight="1" x14ac:dyDescent="0.25">
      <c r="A42" s="17" t="s">
        <v>154</v>
      </c>
      <c r="B42" s="43">
        <v>45121504</v>
      </c>
      <c r="C42" s="19" t="s">
        <v>180</v>
      </c>
      <c r="D42" s="19"/>
      <c r="E42" s="20">
        <v>43951</v>
      </c>
      <c r="F42" s="34" t="s">
        <v>75</v>
      </c>
      <c r="G42" s="46">
        <v>45</v>
      </c>
      <c r="H42" s="22" t="s">
        <v>168</v>
      </c>
      <c r="I42" s="19" t="s">
        <v>181</v>
      </c>
      <c r="J42" s="23" t="s">
        <v>169</v>
      </c>
      <c r="K42" s="23" t="s">
        <v>34</v>
      </c>
      <c r="L42" s="25">
        <f t="shared" si="1"/>
        <v>198000000</v>
      </c>
      <c r="M42" s="25">
        <f t="shared" si="0"/>
        <v>198000000</v>
      </c>
      <c r="N42" s="47">
        <v>128700000</v>
      </c>
      <c r="O42" s="25">
        <v>69300000</v>
      </c>
      <c r="P42" s="44"/>
      <c r="Q42" s="44"/>
      <c r="R42" s="28" t="s">
        <v>35</v>
      </c>
      <c r="S42" s="28" t="s">
        <v>36</v>
      </c>
      <c r="T42" s="28" t="s">
        <v>66</v>
      </c>
      <c r="U42" s="28" t="s">
        <v>182</v>
      </c>
      <c r="V42" s="28" t="s">
        <v>158</v>
      </c>
      <c r="W42" s="28" t="s">
        <v>39</v>
      </c>
      <c r="X42" s="28" t="s">
        <v>40</v>
      </c>
      <c r="Y42" s="29" t="s">
        <v>159</v>
      </c>
      <c r="Z42" s="39" t="s">
        <v>42</v>
      </c>
    </row>
    <row r="43" spans="1:26" s="6" customFormat="1" ht="57" customHeight="1" x14ac:dyDescent="0.25">
      <c r="A43" s="17" t="s">
        <v>154</v>
      </c>
      <c r="B43" s="18">
        <v>43211902</v>
      </c>
      <c r="C43" s="48" t="s">
        <v>183</v>
      </c>
      <c r="D43" s="48"/>
      <c r="E43" s="20">
        <v>44073</v>
      </c>
      <c r="F43" s="49" t="s">
        <v>177</v>
      </c>
      <c r="G43" s="46">
        <v>60</v>
      </c>
      <c r="H43" s="22" t="s">
        <v>168</v>
      </c>
      <c r="I43" s="50" t="s">
        <v>64</v>
      </c>
      <c r="J43" s="23" t="s">
        <v>169</v>
      </c>
      <c r="K43" s="23" t="s">
        <v>34</v>
      </c>
      <c r="L43" s="25">
        <f t="shared" si="1"/>
        <v>81730000</v>
      </c>
      <c r="M43" s="25">
        <f t="shared" si="0"/>
        <v>81730000</v>
      </c>
      <c r="N43" s="47">
        <v>24519000</v>
      </c>
      <c r="O43" s="25">
        <v>57211000</v>
      </c>
      <c r="P43" s="44"/>
      <c r="Q43" s="44"/>
      <c r="R43" s="28" t="s">
        <v>35</v>
      </c>
      <c r="S43" s="28" t="s">
        <v>36</v>
      </c>
      <c r="T43" s="28"/>
      <c r="U43" s="28" t="s">
        <v>179</v>
      </c>
      <c r="V43" s="28" t="s">
        <v>158</v>
      </c>
      <c r="W43" s="28" t="s">
        <v>39</v>
      </c>
      <c r="X43" s="28" t="s">
        <v>40</v>
      </c>
      <c r="Y43" s="29" t="s">
        <v>159</v>
      </c>
      <c r="Z43" s="39" t="s">
        <v>42</v>
      </c>
    </row>
    <row r="44" spans="1:26" s="51" customFormat="1" ht="128.15" customHeight="1" x14ac:dyDescent="0.25">
      <c r="A44" s="17" t="s">
        <v>154</v>
      </c>
      <c r="B44" s="18">
        <v>43223306</v>
      </c>
      <c r="C44" s="19" t="s">
        <v>184</v>
      </c>
      <c r="D44" s="19"/>
      <c r="E44" s="20">
        <v>44012</v>
      </c>
      <c r="F44" s="34" t="s">
        <v>104</v>
      </c>
      <c r="G44" s="18">
        <v>4</v>
      </c>
      <c r="H44" s="22" t="s">
        <v>31</v>
      </c>
      <c r="I44" s="19" t="s">
        <v>181</v>
      </c>
      <c r="J44" s="23" t="s">
        <v>169</v>
      </c>
      <c r="K44" s="23" t="s">
        <v>34</v>
      </c>
      <c r="L44" s="25">
        <f t="shared" si="1"/>
        <v>2420279669</v>
      </c>
      <c r="M44" s="25">
        <f t="shared" si="0"/>
        <v>2420279669</v>
      </c>
      <c r="N44" s="41">
        <v>726083901</v>
      </c>
      <c r="O44" s="25">
        <v>1694195768</v>
      </c>
      <c r="P44" s="25"/>
      <c r="Q44" s="25"/>
      <c r="R44" s="28" t="s">
        <v>35</v>
      </c>
      <c r="S44" s="28" t="s">
        <v>36</v>
      </c>
      <c r="T44" s="28" t="s">
        <v>66</v>
      </c>
      <c r="U44" s="28" t="s">
        <v>186</v>
      </c>
      <c r="V44" s="28" t="s">
        <v>158</v>
      </c>
      <c r="W44" s="28" t="s">
        <v>39</v>
      </c>
      <c r="X44" s="28" t="s">
        <v>40</v>
      </c>
      <c r="Y44" s="29" t="s">
        <v>159</v>
      </c>
      <c r="Z44" s="39" t="s">
        <v>42</v>
      </c>
    </row>
    <row r="45" spans="1:26" s="6" customFormat="1" ht="57" customHeight="1" x14ac:dyDescent="0.25">
      <c r="A45" s="17" t="s">
        <v>154</v>
      </c>
      <c r="B45" s="18">
        <v>81112501</v>
      </c>
      <c r="C45" s="48" t="s">
        <v>187</v>
      </c>
      <c r="D45" s="48"/>
      <c r="E45" s="20">
        <v>44012</v>
      </c>
      <c r="F45" s="52" t="s">
        <v>50</v>
      </c>
      <c r="G45" s="18">
        <v>12</v>
      </c>
      <c r="H45" s="22" t="s">
        <v>31</v>
      </c>
      <c r="I45" s="19" t="s">
        <v>32</v>
      </c>
      <c r="J45" s="23" t="s">
        <v>188</v>
      </c>
      <c r="K45" s="23" t="s">
        <v>34</v>
      </c>
      <c r="L45" s="25">
        <f t="shared" si="1"/>
        <v>2500710554</v>
      </c>
      <c r="M45" s="25">
        <f t="shared" si="0"/>
        <v>2500710554</v>
      </c>
      <c r="N45" s="25">
        <f>289499154+460714012</f>
        <v>750213166</v>
      </c>
      <c r="O45" s="25">
        <f>675498027+1074999361</f>
        <v>1750497388</v>
      </c>
      <c r="P45" s="25"/>
      <c r="Q45" s="25"/>
      <c r="R45" s="28" t="s">
        <v>35</v>
      </c>
      <c r="S45" s="28" t="s">
        <v>36</v>
      </c>
      <c r="T45" s="28"/>
      <c r="U45" s="28" t="s">
        <v>189</v>
      </c>
      <c r="V45" s="28" t="s">
        <v>158</v>
      </c>
      <c r="W45" s="28" t="s">
        <v>39</v>
      </c>
      <c r="X45" s="28" t="s">
        <v>40</v>
      </c>
      <c r="Y45" s="29" t="s">
        <v>159</v>
      </c>
      <c r="Z45" s="39" t="s">
        <v>42</v>
      </c>
    </row>
    <row r="46" spans="1:26" s="6" customFormat="1" ht="57" customHeight="1" x14ac:dyDescent="0.25">
      <c r="A46" s="17" t="s">
        <v>154</v>
      </c>
      <c r="B46" s="18">
        <v>81112501</v>
      </c>
      <c r="C46" s="48" t="s">
        <v>190</v>
      </c>
      <c r="D46" s="48"/>
      <c r="E46" s="20">
        <v>44074</v>
      </c>
      <c r="F46" s="52" t="s">
        <v>177</v>
      </c>
      <c r="G46" s="18">
        <v>12</v>
      </c>
      <c r="H46" s="22" t="s">
        <v>31</v>
      </c>
      <c r="I46" s="19" t="s">
        <v>64</v>
      </c>
      <c r="J46" s="23" t="s">
        <v>188</v>
      </c>
      <c r="K46" s="23" t="s">
        <v>34</v>
      </c>
      <c r="L46" s="25">
        <f t="shared" si="1"/>
        <v>254901350</v>
      </c>
      <c r="M46" s="25">
        <f t="shared" si="0"/>
        <v>254901350</v>
      </c>
      <c r="N46" s="54">
        <f>73838438+2631967</f>
        <v>76470405</v>
      </c>
      <c r="O46" s="47">
        <f>172289689+6141256</f>
        <v>178430945</v>
      </c>
      <c r="P46" s="25"/>
      <c r="Q46" s="25"/>
      <c r="R46" s="28" t="s">
        <v>35</v>
      </c>
      <c r="S46" s="28" t="s">
        <v>36</v>
      </c>
      <c r="T46" s="28"/>
      <c r="U46" s="28" t="s">
        <v>189</v>
      </c>
      <c r="V46" s="28" t="s">
        <v>158</v>
      </c>
      <c r="W46" s="28" t="s">
        <v>39</v>
      </c>
      <c r="X46" s="28" t="s">
        <v>40</v>
      </c>
      <c r="Y46" s="29" t="s">
        <v>159</v>
      </c>
      <c r="Z46" s="39" t="s">
        <v>42</v>
      </c>
    </row>
    <row r="47" spans="1:26" s="6" customFormat="1" ht="57" customHeight="1" x14ac:dyDescent="0.25">
      <c r="A47" s="17" t="s">
        <v>154</v>
      </c>
      <c r="B47" s="18">
        <v>81112501</v>
      </c>
      <c r="C47" s="48" t="s">
        <v>191</v>
      </c>
      <c r="D47" s="48"/>
      <c r="E47" s="20">
        <v>44048</v>
      </c>
      <c r="F47" s="34" t="s">
        <v>177</v>
      </c>
      <c r="G47" s="18">
        <v>12</v>
      </c>
      <c r="H47" s="22" t="s">
        <v>31</v>
      </c>
      <c r="I47" s="19" t="s">
        <v>64</v>
      </c>
      <c r="J47" s="23" t="s">
        <v>188</v>
      </c>
      <c r="K47" s="23" t="s">
        <v>34</v>
      </c>
      <c r="L47" s="25">
        <f t="shared" si="1"/>
        <v>247501759</v>
      </c>
      <c r="M47" s="25">
        <f t="shared" si="0"/>
        <v>247501759</v>
      </c>
      <c r="N47" s="25">
        <v>74250528</v>
      </c>
      <c r="O47" s="41">
        <v>173251231</v>
      </c>
      <c r="P47" s="25"/>
      <c r="Q47" s="25"/>
      <c r="R47" s="28" t="s">
        <v>35</v>
      </c>
      <c r="S47" s="28" t="s">
        <v>36</v>
      </c>
      <c r="T47" s="28"/>
      <c r="U47" s="28" t="s">
        <v>189</v>
      </c>
      <c r="V47" s="28" t="s">
        <v>158</v>
      </c>
      <c r="W47" s="28" t="s">
        <v>39</v>
      </c>
      <c r="X47" s="28" t="s">
        <v>40</v>
      </c>
      <c r="Y47" s="29" t="s">
        <v>159</v>
      </c>
      <c r="Z47" s="39" t="s">
        <v>42</v>
      </c>
    </row>
    <row r="48" spans="1:26" s="6" customFormat="1" ht="57" customHeight="1" x14ac:dyDescent="0.25">
      <c r="A48" s="17" t="s">
        <v>154</v>
      </c>
      <c r="B48" s="18">
        <v>81112501</v>
      </c>
      <c r="C48" s="48" t="s">
        <v>192</v>
      </c>
      <c r="D48" s="48"/>
      <c r="E48" s="20">
        <v>44048</v>
      </c>
      <c r="F48" s="34" t="s">
        <v>177</v>
      </c>
      <c r="G48" s="18">
        <v>12</v>
      </c>
      <c r="H48" s="22" t="s">
        <v>31</v>
      </c>
      <c r="I48" s="19" t="s">
        <v>64</v>
      </c>
      <c r="J48" s="23" t="s">
        <v>188</v>
      </c>
      <c r="K48" s="23" t="s">
        <v>34</v>
      </c>
      <c r="L48" s="25">
        <f t="shared" si="1"/>
        <v>79021759</v>
      </c>
      <c r="M48" s="25">
        <f t="shared" si="0"/>
        <v>79021759</v>
      </c>
      <c r="N48" s="25">
        <v>23706528</v>
      </c>
      <c r="O48" s="41">
        <v>55315231</v>
      </c>
      <c r="P48" s="25"/>
      <c r="Q48" s="25"/>
      <c r="R48" s="28" t="s">
        <v>35</v>
      </c>
      <c r="S48" s="28" t="s">
        <v>36</v>
      </c>
      <c r="T48" s="28"/>
      <c r="U48" s="28" t="s">
        <v>189</v>
      </c>
      <c r="V48" s="28" t="s">
        <v>158</v>
      </c>
      <c r="W48" s="28" t="s">
        <v>39</v>
      </c>
      <c r="X48" s="28" t="s">
        <v>40</v>
      </c>
      <c r="Y48" s="29" t="s">
        <v>159</v>
      </c>
      <c r="Z48" s="39" t="s">
        <v>42</v>
      </c>
    </row>
    <row r="49" spans="1:26" s="6" customFormat="1" ht="57" customHeight="1" x14ac:dyDescent="0.25">
      <c r="A49" s="17" t="s">
        <v>154</v>
      </c>
      <c r="B49" s="18">
        <v>81112501</v>
      </c>
      <c r="C49" s="48" t="s">
        <v>193</v>
      </c>
      <c r="D49" s="48"/>
      <c r="E49" s="20">
        <v>43987</v>
      </c>
      <c r="F49" s="49" t="s">
        <v>104</v>
      </c>
      <c r="G49" s="18">
        <v>12</v>
      </c>
      <c r="H49" s="22" t="s">
        <v>31</v>
      </c>
      <c r="I49" s="19" t="s">
        <v>161</v>
      </c>
      <c r="J49" s="23" t="s">
        <v>188</v>
      </c>
      <c r="K49" s="23" t="s">
        <v>34</v>
      </c>
      <c r="L49" s="25">
        <f t="shared" si="1"/>
        <v>98456433</v>
      </c>
      <c r="M49" s="25">
        <f t="shared" si="0"/>
        <v>98456433</v>
      </c>
      <c r="N49" s="25">
        <f>34709365-5172435</f>
        <v>29536930</v>
      </c>
      <c r="O49" s="41">
        <f>80988519-12069016</f>
        <v>68919503</v>
      </c>
      <c r="P49" s="25"/>
      <c r="Q49" s="25"/>
      <c r="R49" s="28" t="s">
        <v>35</v>
      </c>
      <c r="S49" s="28" t="s">
        <v>36</v>
      </c>
      <c r="T49" s="28"/>
      <c r="U49" s="28" t="s">
        <v>179</v>
      </c>
      <c r="V49" s="28" t="s">
        <v>158</v>
      </c>
      <c r="W49" s="28" t="s">
        <v>39</v>
      </c>
      <c r="X49" s="28" t="s">
        <v>40</v>
      </c>
      <c r="Y49" s="29" t="s">
        <v>159</v>
      </c>
      <c r="Z49" s="39" t="s">
        <v>42</v>
      </c>
    </row>
    <row r="50" spans="1:26" s="6" customFormat="1" ht="57" customHeight="1" x14ac:dyDescent="0.25">
      <c r="A50" s="17" t="s">
        <v>154</v>
      </c>
      <c r="B50" s="18">
        <v>81112501</v>
      </c>
      <c r="C50" s="48" t="s">
        <v>194</v>
      </c>
      <c r="D50" s="48"/>
      <c r="E50" s="20">
        <v>43830</v>
      </c>
      <c r="F50" s="52" t="s">
        <v>88</v>
      </c>
      <c r="G50" s="18">
        <v>12</v>
      </c>
      <c r="H50" s="22" t="s">
        <v>31</v>
      </c>
      <c r="I50" s="19" t="s">
        <v>32</v>
      </c>
      <c r="J50" s="23" t="s">
        <v>188</v>
      </c>
      <c r="K50" s="23" t="s">
        <v>34</v>
      </c>
      <c r="L50" s="25">
        <f t="shared" si="1"/>
        <v>46581360</v>
      </c>
      <c r="M50" s="25">
        <f t="shared" si="0"/>
        <v>46581360</v>
      </c>
      <c r="N50" s="53">
        <f>30290000-12116</f>
        <v>30277884</v>
      </c>
      <c r="O50" s="41">
        <f>16310000-6524</f>
        <v>16303476</v>
      </c>
      <c r="P50" s="25"/>
      <c r="Q50" s="25"/>
      <c r="R50" s="28" t="s">
        <v>35</v>
      </c>
      <c r="S50" s="28" t="s">
        <v>36</v>
      </c>
      <c r="T50" s="28" t="s">
        <v>48</v>
      </c>
      <c r="U50" s="28" t="s">
        <v>195</v>
      </c>
      <c r="V50" s="28" t="s">
        <v>158</v>
      </c>
      <c r="W50" s="28" t="s">
        <v>39</v>
      </c>
      <c r="X50" s="28" t="s">
        <v>40</v>
      </c>
      <c r="Y50" s="29" t="s">
        <v>159</v>
      </c>
      <c r="Z50" s="39" t="s">
        <v>42</v>
      </c>
    </row>
    <row r="51" spans="1:26" s="6" customFormat="1" ht="57" customHeight="1" x14ac:dyDescent="0.25">
      <c r="A51" s="17" t="s">
        <v>154</v>
      </c>
      <c r="B51" s="18">
        <v>81112501</v>
      </c>
      <c r="C51" s="48" t="s">
        <v>196</v>
      </c>
      <c r="D51" s="48"/>
      <c r="E51" s="20">
        <v>44048</v>
      </c>
      <c r="F51" s="34" t="s">
        <v>177</v>
      </c>
      <c r="G51" s="18">
        <v>12</v>
      </c>
      <c r="H51" s="22" t="s">
        <v>31</v>
      </c>
      <c r="I51" s="19" t="s">
        <v>64</v>
      </c>
      <c r="J51" s="23" t="s">
        <v>188</v>
      </c>
      <c r="K51" s="23" t="s">
        <v>34</v>
      </c>
      <c r="L51" s="25">
        <f t="shared" si="1"/>
        <v>161696759</v>
      </c>
      <c r="M51" s="25">
        <f t="shared" si="0"/>
        <v>161696759</v>
      </c>
      <c r="N51" s="54">
        <v>48509028</v>
      </c>
      <c r="O51" s="41">
        <v>113187731</v>
      </c>
      <c r="P51" s="25"/>
      <c r="Q51" s="25"/>
      <c r="R51" s="28" t="s">
        <v>35</v>
      </c>
      <c r="S51" s="28" t="s">
        <v>36</v>
      </c>
      <c r="T51" s="28"/>
      <c r="U51" s="28" t="s">
        <v>179</v>
      </c>
      <c r="V51" s="28" t="s">
        <v>158</v>
      </c>
      <c r="W51" s="28" t="s">
        <v>39</v>
      </c>
      <c r="X51" s="28" t="s">
        <v>40</v>
      </c>
      <c r="Y51" s="29" t="s">
        <v>159</v>
      </c>
      <c r="Z51" s="39" t="s">
        <v>42</v>
      </c>
    </row>
    <row r="52" spans="1:26" s="6" customFormat="1" ht="57" customHeight="1" x14ac:dyDescent="0.25">
      <c r="A52" s="17" t="s">
        <v>154</v>
      </c>
      <c r="B52" s="18">
        <v>81112501</v>
      </c>
      <c r="C52" s="48" t="s">
        <v>197</v>
      </c>
      <c r="D52" s="48"/>
      <c r="E52" s="20">
        <v>44135</v>
      </c>
      <c r="F52" s="34" t="s">
        <v>198</v>
      </c>
      <c r="G52" s="18">
        <v>2</v>
      </c>
      <c r="H52" s="22" t="s">
        <v>31</v>
      </c>
      <c r="I52" s="19" t="s">
        <v>32</v>
      </c>
      <c r="J52" s="23" t="s">
        <v>188</v>
      </c>
      <c r="K52" s="23" t="s">
        <v>34</v>
      </c>
      <c r="L52" s="25">
        <f t="shared" si="1"/>
        <v>537250172</v>
      </c>
      <c r="M52" s="25">
        <f t="shared" si="0"/>
        <v>537250172</v>
      </c>
      <c r="N52" s="25">
        <v>161175052</v>
      </c>
      <c r="O52" s="25">
        <f>376075120</f>
        <v>376075120</v>
      </c>
      <c r="P52" s="25"/>
      <c r="Q52" s="25"/>
      <c r="R52" s="28" t="s">
        <v>35</v>
      </c>
      <c r="S52" s="28" t="s">
        <v>36</v>
      </c>
      <c r="T52" s="28"/>
      <c r="U52" s="28" t="s">
        <v>189</v>
      </c>
      <c r="V52" s="28" t="s">
        <v>158</v>
      </c>
      <c r="W52" s="28" t="s">
        <v>39</v>
      </c>
      <c r="X52" s="28" t="s">
        <v>40</v>
      </c>
      <c r="Y52" s="29" t="s">
        <v>159</v>
      </c>
      <c r="Z52" s="39" t="s">
        <v>42</v>
      </c>
    </row>
    <row r="53" spans="1:26" s="6" customFormat="1" ht="57" customHeight="1" x14ac:dyDescent="0.25">
      <c r="A53" s="17" t="s">
        <v>154</v>
      </c>
      <c r="B53" s="18">
        <v>81112501</v>
      </c>
      <c r="C53" s="19" t="s">
        <v>199</v>
      </c>
      <c r="D53" s="48"/>
      <c r="E53" s="20">
        <v>43987</v>
      </c>
      <c r="F53" s="49" t="s">
        <v>104</v>
      </c>
      <c r="G53" s="18">
        <v>12</v>
      </c>
      <c r="H53" s="22" t="s">
        <v>31</v>
      </c>
      <c r="I53" s="19" t="s">
        <v>161</v>
      </c>
      <c r="J53" s="23" t="s">
        <v>188</v>
      </c>
      <c r="K53" s="23" t="s">
        <v>34</v>
      </c>
      <c r="L53" s="25">
        <f t="shared" si="1"/>
        <v>39605955</v>
      </c>
      <c r="M53" s="55">
        <f t="shared" si="0"/>
        <v>39605955</v>
      </c>
      <c r="N53" s="47">
        <v>11881786</v>
      </c>
      <c r="O53" s="41">
        <v>27724169</v>
      </c>
      <c r="P53" s="25"/>
      <c r="Q53" s="25"/>
      <c r="R53" s="28" t="s">
        <v>35</v>
      </c>
      <c r="S53" s="28" t="s">
        <v>36</v>
      </c>
      <c r="T53" s="28"/>
      <c r="U53" s="28" t="s">
        <v>189</v>
      </c>
      <c r="V53" s="28" t="s">
        <v>158</v>
      </c>
      <c r="W53" s="28" t="s">
        <v>39</v>
      </c>
      <c r="X53" s="28" t="s">
        <v>40</v>
      </c>
      <c r="Y53" s="29" t="s">
        <v>159</v>
      </c>
      <c r="Z53" s="39" t="s">
        <v>42</v>
      </c>
    </row>
    <row r="54" spans="1:26" s="6" customFormat="1" ht="57" customHeight="1" x14ac:dyDescent="0.25">
      <c r="A54" s="17" t="s">
        <v>154</v>
      </c>
      <c r="B54" s="18">
        <v>81112501</v>
      </c>
      <c r="C54" s="19" t="s">
        <v>200</v>
      </c>
      <c r="D54" s="48"/>
      <c r="E54" s="20">
        <v>44074</v>
      </c>
      <c r="F54" s="45" t="s">
        <v>50</v>
      </c>
      <c r="G54" s="18">
        <v>1</v>
      </c>
      <c r="H54" s="22" t="s">
        <v>31</v>
      </c>
      <c r="I54" s="19" t="s">
        <v>161</v>
      </c>
      <c r="J54" s="23" t="s">
        <v>188</v>
      </c>
      <c r="K54" s="23" t="s">
        <v>34</v>
      </c>
      <c r="L54" s="25">
        <f t="shared" si="1"/>
        <v>71181759</v>
      </c>
      <c r="M54" s="55">
        <f t="shared" si="0"/>
        <v>71181759</v>
      </c>
      <c r="N54" s="47">
        <v>21354528</v>
      </c>
      <c r="O54" s="41">
        <v>49827231</v>
      </c>
      <c r="P54" s="25"/>
      <c r="Q54" s="25"/>
      <c r="R54" s="28" t="s">
        <v>35</v>
      </c>
      <c r="S54" s="28" t="s">
        <v>36</v>
      </c>
      <c r="T54" s="28"/>
      <c r="U54" s="28" t="s">
        <v>189</v>
      </c>
      <c r="V54" s="28" t="s">
        <v>158</v>
      </c>
      <c r="W54" s="28" t="s">
        <v>39</v>
      </c>
      <c r="X54" s="28" t="s">
        <v>40</v>
      </c>
      <c r="Y54" s="29" t="s">
        <v>159</v>
      </c>
      <c r="Z54" s="39" t="s">
        <v>42</v>
      </c>
    </row>
    <row r="55" spans="1:26" s="6" customFormat="1" ht="57" customHeight="1" x14ac:dyDescent="0.25">
      <c r="A55" s="17" t="s">
        <v>154</v>
      </c>
      <c r="B55" s="18">
        <v>81112501</v>
      </c>
      <c r="C55" s="48" t="s">
        <v>201</v>
      </c>
      <c r="D55" s="48"/>
      <c r="E55" s="20">
        <v>43889</v>
      </c>
      <c r="F55" s="34" t="s">
        <v>75</v>
      </c>
      <c r="G55" s="18">
        <v>12</v>
      </c>
      <c r="H55" s="22" t="s">
        <v>31</v>
      </c>
      <c r="I55" s="19" t="s">
        <v>161</v>
      </c>
      <c r="J55" s="23" t="s">
        <v>188</v>
      </c>
      <c r="K55" s="23" t="s">
        <v>34</v>
      </c>
      <c r="L55" s="25">
        <f t="shared" si="1"/>
        <v>291064798</v>
      </c>
      <c r="M55" s="25">
        <f t="shared" si="0"/>
        <v>291064798</v>
      </c>
      <c r="N55" s="25">
        <f>208497849-19305730</f>
        <v>189192119</v>
      </c>
      <c r="O55" s="25">
        <f>112268073-10395394</f>
        <v>101872679</v>
      </c>
      <c r="P55" s="25"/>
      <c r="Q55" s="25"/>
      <c r="R55" s="28" t="s">
        <v>35</v>
      </c>
      <c r="S55" s="28" t="s">
        <v>36</v>
      </c>
      <c r="T55" s="28" t="s">
        <v>90</v>
      </c>
      <c r="U55" s="28" t="s">
        <v>189</v>
      </c>
      <c r="V55" s="28" t="s">
        <v>158</v>
      </c>
      <c r="W55" s="28" t="s">
        <v>39</v>
      </c>
      <c r="X55" s="28" t="s">
        <v>40</v>
      </c>
      <c r="Y55" s="29" t="s">
        <v>159</v>
      </c>
      <c r="Z55" s="39" t="s">
        <v>42</v>
      </c>
    </row>
    <row r="56" spans="1:26" s="6" customFormat="1" ht="57" customHeight="1" x14ac:dyDescent="0.25">
      <c r="A56" s="17" t="s">
        <v>154</v>
      </c>
      <c r="B56" s="18">
        <v>81111811</v>
      </c>
      <c r="C56" s="48" t="s">
        <v>202</v>
      </c>
      <c r="D56" s="48"/>
      <c r="E56" s="20">
        <v>43951</v>
      </c>
      <c r="F56" s="34" t="s">
        <v>185</v>
      </c>
      <c r="G56" s="18">
        <v>12</v>
      </c>
      <c r="H56" s="22" t="s">
        <v>31</v>
      </c>
      <c r="I56" s="19" t="s">
        <v>32</v>
      </c>
      <c r="J56" s="28" t="s">
        <v>203</v>
      </c>
      <c r="K56" s="23" t="s">
        <v>204</v>
      </c>
      <c r="L56" s="25">
        <f t="shared" si="1"/>
        <v>529173412</v>
      </c>
      <c r="M56" s="25">
        <f t="shared" ref="M56:M96" si="2">+O56+N56</f>
        <v>529173412</v>
      </c>
      <c r="N56" s="25">
        <v>158752024</v>
      </c>
      <c r="O56" s="25">
        <v>370421388</v>
      </c>
      <c r="P56" s="25"/>
      <c r="Q56" s="25"/>
      <c r="R56" s="28" t="s">
        <v>35</v>
      </c>
      <c r="S56" s="28" t="s">
        <v>36</v>
      </c>
      <c r="T56" s="28" t="s">
        <v>90</v>
      </c>
      <c r="U56" s="28" t="s">
        <v>205</v>
      </c>
      <c r="V56" s="28" t="s">
        <v>158</v>
      </c>
      <c r="W56" s="28" t="s">
        <v>39</v>
      </c>
      <c r="X56" s="28" t="s">
        <v>40</v>
      </c>
      <c r="Y56" s="29" t="s">
        <v>159</v>
      </c>
      <c r="Z56" s="39" t="s">
        <v>42</v>
      </c>
    </row>
    <row r="57" spans="1:26" s="6" customFormat="1" ht="42.75" customHeight="1" x14ac:dyDescent="0.25">
      <c r="A57" s="17" t="s">
        <v>154</v>
      </c>
      <c r="B57" s="18">
        <v>81111811</v>
      </c>
      <c r="C57" s="19" t="s">
        <v>206</v>
      </c>
      <c r="D57" s="33">
        <v>44773</v>
      </c>
      <c r="E57" s="20"/>
      <c r="F57" s="21"/>
      <c r="G57" s="35"/>
      <c r="H57" s="22"/>
      <c r="I57" s="23" t="s">
        <v>46</v>
      </c>
      <c r="J57" s="23" t="s">
        <v>178</v>
      </c>
      <c r="K57" s="41" t="s">
        <v>34</v>
      </c>
      <c r="L57" s="25">
        <f t="shared" si="1"/>
        <v>13694833606</v>
      </c>
      <c r="M57" s="25">
        <f t="shared" si="2"/>
        <v>5102501873</v>
      </c>
      <c r="N57" s="25">
        <f>5102501873*0.65</f>
        <v>3316626217.4500003</v>
      </c>
      <c r="O57" s="25">
        <f>5102501873*0.35</f>
        <v>1785875655.55</v>
      </c>
      <c r="P57" s="25">
        <f>5262916643</f>
        <v>5262916643</v>
      </c>
      <c r="Q57" s="25">
        <v>3329415090</v>
      </c>
      <c r="R57" s="28" t="s">
        <v>166</v>
      </c>
      <c r="S57" s="28" t="s">
        <v>207</v>
      </c>
      <c r="T57" s="28" t="s">
        <v>48</v>
      </c>
      <c r="U57" s="28"/>
      <c r="V57" s="28" t="s">
        <v>158</v>
      </c>
      <c r="W57" s="28" t="s">
        <v>39</v>
      </c>
      <c r="X57" s="28" t="s">
        <v>40</v>
      </c>
      <c r="Y57" s="29" t="s">
        <v>159</v>
      </c>
      <c r="Z57" s="39" t="s">
        <v>42</v>
      </c>
    </row>
    <row r="58" spans="1:26" s="6" customFormat="1" ht="57" customHeight="1" x14ac:dyDescent="0.25">
      <c r="A58" s="17" t="s">
        <v>154</v>
      </c>
      <c r="B58" s="18">
        <v>81112501</v>
      </c>
      <c r="C58" s="19" t="s">
        <v>208</v>
      </c>
      <c r="D58" s="19"/>
      <c r="E58" s="20">
        <v>43847</v>
      </c>
      <c r="F58" s="34" t="s">
        <v>88</v>
      </c>
      <c r="G58" s="18">
        <v>9</v>
      </c>
      <c r="H58" s="22" t="s">
        <v>31</v>
      </c>
      <c r="I58" s="19" t="s">
        <v>161</v>
      </c>
      <c r="J58" s="28" t="s">
        <v>178</v>
      </c>
      <c r="K58" s="23" t="s">
        <v>34</v>
      </c>
      <c r="L58" s="25">
        <f t="shared" si="1"/>
        <v>139096848</v>
      </c>
      <c r="M58" s="25">
        <f t="shared" si="2"/>
        <v>139096848</v>
      </c>
      <c r="N58" s="25">
        <f>99316103-8903152</f>
        <v>90412951</v>
      </c>
      <c r="O58" s="25">
        <v>48683897</v>
      </c>
      <c r="P58" s="25"/>
      <c r="Q58" s="25"/>
      <c r="R58" s="28" t="s">
        <v>35</v>
      </c>
      <c r="S58" s="28" t="s">
        <v>36</v>
      </c>
      <c r="T58" s="28" t="s">
        <v>90</v>
      </c>
      <c r="U58" s="28" t="s">
        <v>209</v>
      </c>
      <c r="V58" s="28" t="s">
        <v>158</v>
      </c>
      <c r="W58" s="28" t="s">
        <v>39</v>
      </c>
      <c r="X58" s="28" t="s">
        <v>40</v>
      </c>
      <c r="Y58" s="29" t="s">
        <v>159</v>
      </c>
      <c r="Z58" s="39" t="s">
        <v>42</v>
      </c>
    </row>
    <row r="59" spans="1:26" s="6" customFormat="1" ht="57" customHeight="1" x14ac:dyDescent="0.25">
      <c r="A59" s="17" t="s">
        <v>154</v>
      </c>
      <c r="B59" s="18">
        <v>81112501</v>
      </c>
      <c r="C59" s="19" t="s">
        <v>210</v>
      </c>
      <c r="D59" s="19"/>
      <c r="E59" s="20">
        <v>44071</v>
      </c>
      <c r="F59" s="34" t="s">
        <v>177</v>
      </c>
      <c r="G59" s="32">
        <v>45</v>
      </c>
      <c r="H59" s="22" t="s">
        <v>168</v>
      </c>
      <c r="I59" s="19" t="s">
        <v>211</v>
      </c>
      <c r="J59" s="23" t="s">
        <v>188</v>
      </c>
      <c r="K59" s="23" t="s">
        <v>34</v>
      </c>
      <c r="L59" s="25">
        <f t="shared" si="1"/>
        <v>10000000</v>
      </c>
      <c r="M59" s="25">
        <f t="shared" si="2"/>
        <v>10000000</v>
      </c>
      <c r="N59" s="47">
        <v>3000000</v>
      </c>
      <c r="O59" s="25">
        <v>7000000</v>
      </c>
      <c r="P59" s="25"/>
      <c r="Q59" s="25"/>
      <c r="R59" s="28" t="s">
        <v>35</v>
      </c>
      <c r="S59" s="28" t="s">
        <v>36</v>
      </c>
      <c r="T59" s="28"/>
      <c r="U59" s="28" t="s">
        <v>212</v>
      </c>
      <c r="V59" s="28" t="s">
        <v>158</v>
      </c>
      <c r="W59" s="28" t="s">
        <v>39</v>
      </c>
      <c r="X59" s="28" t="s">
        <v>40</v>
      </c>
      <c r="Y59" s="29" t="s">
        <v>159</v>
      </c>
      <c r="Z59" s="39" t="s">
        <v>42</v>
      </c>
    </row>
    <row r="60" spans="1:26" s="56" customFormat="1" ht="113.25" customHeight="1" x14ac:dyDescent="0.25">
      <c r="A60" s="17" t="s">
        <v>213</v>
      </c>
      <c r="B60" s="37" t="s">
        <v>214</v>
      </c>
      <c r="C60" s="50" t="s">
        <v>215</v>
      </c>
      <c r="D60" s="50"/>
      <c r="E60" s="20">
        <v>43846</v>
      </c>
      <c r="F60" s="34" t="s">
        <v>81</v>
      </c>
      <c r="G60" s="32">
        <v>9</v>
      </c>
      <c r="H60" s="22" t="s">
        <v>31</v>
      </c>
      <c r="I60" s="58" t="s">
        <v>211</v>
      </c>
      <c r="J60" s="50" t="s">
        <v>215</v>
      </c>
      <c r="K60" s="58" t="s">
        <v>216</v>
      </c>
      <c r="L60" s="25">
        <f t="shared" si="1"/>
        <v>1832094</v>
      </c>
      <c r="M60" s="25">
        <f t="shared" si="2"/>
        <v>1832094</v>
      </c>
      <c r="N60" s="59">
        <f>2185454-353360</f>
        <v>1832094</v>
      </c>
      <c r="O60" s="59"/>
      <c r="P60" s="59"/>
      <c r="Q60" s="59"/>
      <c r="R60" s="60" t="s">
        <v>35</v>
      </c>
      <c r="S60" s="61" t="s">
        <v>36</v>
      </c>
      <c r="T60" s="61" t="s">
        <v>90</v>
      </c>
      <c r="U60" s="37" t="s">
        <v>217</v>
      </c>
      <c r="V60" s="62" t="s">
        <v>158</v>
      </c>
      <c r="W60" s="61" t="s">
        <v>218</v>
      </c>
      <c r="X60" s="61" t="s">
        <v>40</v>
      </c>
      <c r="Y60" s="61" t="s">
        <v>159</v>
      </c>
      <c r="Z60" s="63" t="s">
        <v>42</v>
      </c>
    </row>
    <row r="61" spans="1:26" ht="57" customHeight="1" x14ac:dyDescent="0.25">
      <c r="A61" s="17" t="s">
        <v>213</v>
      </c>
      <c r="B61" s="37" t="s">
        <v>219</v>
      </c>
      <c r="C61" s="50" t="s">
        <v>220</v>
      </c>
      <c r="D61" s="50"/>
      <c r="E61" s="20">
        <v>43868</v>
      </c>
      <c r="F61" s="34" t="s">
        <v>75</v>
      </c>
      <c r="G61" s="57">
        <v>9</v>
      </c>
      <c r="H61" s="22" t="s">
        <v>31</v>
      </c>
      <c r="I61" s="58" t="s">
        <v>64</v>
      </c>
      <c r="J61" s="50" t="s">
        <v>221</v>
      </c>
      <c r="K61" s="58" t="s">
        <v>222</v>
      </c>
      <c r="L61" s="25">
        <f t="shared" si="1"/>
        <v>62990999</v>
      </c>
      <c r="M61" s="25">
        <f t="shared" si="2"/>
        <v>62990999</v>
      </c>
      <c r="N61" s="59">
        <f>68291060-5300061</f>
        <v>62990999</v>
      </c>
      <c r="O61" s="59"/>
      <c r="P61" s="59"/>
      <c r="Q61" s="59"/>
      <c r="R61" s="60" t="s">
        <v>35</v>
      </c>
      <c r="S61" s="61" t="s">
        <v>36</v>
      </c>
      <c r="T61" s="61" t="s">
        <v>90</v>
      </c>
      <c r="U61" s="37" t="s">
        <v>217</v>
      </c>
      <c r="V61" s="62" t="s">
        <v>158</v>
      </c>
      <c r="W61" s="61" t="s">
        <v>218</v>
      </c>
      <c r="X61" s="61" t="s">
        <v>40</v>
      </c>
      <c r="Y61" s="61" t="s">
        <v>171</v>
      </c>
      <c r="Z61" s="63" t="s">
        <v>42</v>
      </c>
    </row>
    <row r="62" spans="1:26" ht="57" customHeight="1" x14ac:dyDescent="0.25">
      <c r="A62" s="17" t="s">
        <v>213</v>
      </c>
      <c r="B62" s="37" t="s">
        <v>223</v>
      </c>
      <c r="C62" s="50" t="s">
        <v>224</v>
      </c>
      <c r="D62" s="50"/>
      <c r="E62" s="20"/>
      <c r="F62" s="34"/>
      <c r="G62" s="57"/>
      <c r="H62" s="22"/>
      <c r="I62" s="58"/>
      <c r="J62" s="50" t="s">
        <v>221</v>
      </c>
      <c r="K62" s="58" t="s">
        <v>225</v>
      </c>
      <c r="L62" s="25">
        <f>+M62+P62+Q62</f>
        <v>5300061</v>
      </c>
      <c r="M62" s="25">
        <f>+O62+N62</f>
        <v>5300061</v>
      </c>
      <c r="N62" s="59">
        <f>68291061-62991000</f>
        <v>5300061</v>
      </c>
      <c r="O62" s="59"/>
      <c r="P62" s="59"/>
      <c r="Q62" s="59"/>
      <c r="R62" s="60"/>
      <c r="S62" s="61"/>
      <c r="T62" s="61" t="s">
        <v>43</v>
      </c>
      <c r="U62" s="37"/>
      <c r="V62" s="62"/>
      <c r="W62" s="61"/>
      <c r="X62" s="61"/>
      <c r="Y62" s="61"/>
      <c r="Z62" s="63"/>
    </row>
    <row r="63" spans="1:26" ht="75" customHeight="1" x14ac:dyDescent="0.3">
      <c r="A63" s="17" t="s">
        <v>213</v>
      </c>
      <c r="B63" s="37" t="s">
        <v>226</v>
      </c>
      <c r="C63" s="50" t="s">
        <v>227</v>
      </c>
      <c r="D63" s="50"/>
      <c r="E63" s="20">
        <v>43868</v>
      </c>
      <c r="F63" s="34" t="s">
        <v>75</v>
      </c>
      <c r="G63" s="34">
        <v>1</v>
      </c>
      <c r="H63" s="22" t="s">
        <v>31</v>
      </c>
      <c r="I63" s="58" t="s">
        <v>211</v>
      </c>
      <c r="J63" s="50" t="s">
        <v>228</v>
      </c>
      <c r="K63" s="58" t="s">
        <v>229</v>
      </c>
      <c r="L63" s="25">
        <f t="shared" si="1"/>
        <v>36507607</v>
      </c>
      <c r="M63" s="25">
        <f t="shared" si="2"/>
        <v>36507607</v>
      </c>
      <c r="N63" s="59">
        <f>68831207+7473649+1524390+7700000-49021639</f>
        <v>36507607</v>
      </c>
      <c r="O63" s="59"/>
      <c r="P63" s="59"/>
      <c r="Q63" s="59"/>
      <c r="R63" s="64" t="s">
        <v>35</v>
      </c>
      <c r="S63" s="61" t="s">
        <v>36</v>
      </c>
      <c r="T63" s="61" t="s">
        <v>66</v>
      </c>
      <c r="U63" s="37" t="s">
        <v>217</v>
      </c>
      <c r="V63" s="62" t="s">
        <v>158</v>
      </c>
      <c r="W63" s="61" t="s">
        <v>218</v>
      </c>
      <c r="X63" s="61" t="s">
        <v>40</v>
      </c>
      <c r="Y63" s="61" t="s">
        <v>230</v>
      </c>
      <c r="Z63" s="63" t="s">
        <v>42</v>
      </c>
    </row>
    <row r="64" spans="1:26" ht="71.25" customHeight="1" x14ac:dyDescent="0.3">
      <c r="A64" s="17" t="s">
        <v>213</v>
      </c>
      <c r="B64" s="37" t="s">
        <v>231</v>
      </c>
      <c r="C64" s="50" t="s">
        <v>232</v>
      </c>
      <c r="D64" s="50"/>
      <c r="E64" s="20">
        <v>43868</v>
      </c>
      <c r="F64" s="34" t="s">
        <v>75</v>
      </c>
      <c r="G64" s="34">
        <v>6</v>
      </c>
      <c r="H64" s="22" t="s">
        <v>31</v>
      </c>
      <c r="I64" s="58" t="s">
        <v>64</v>
      </c>
      <c r="J64" s="50" t="s">
        <v>233</v>
      </c>
      <c r="K64" s="58" t="s">
        <v>222</v>
      </c>
      <c r="L64" s="25">
        <f t="shared" si="1"/>
        <v>175535000</v>
      </c>
      <c r="M64" s="25">
        <f t="shared" si="2"/>
        <v>175535000</v>
      </c>
      <c r="N64" s="59">
        <f>141535000+34000000</f>
        <v>175535000</v>
      </c>
      <c r="O64" s="59"/>
      <c r="P64" s="59"/>
      <c r="Q64" s="59"/>
      <c r="R64" s="64" t="s">
        <v>35</v>
      </c>
      <c r="S64" s="61" t="s">
        <v>36</v>
      </c>
      <c r="T64" s="61" t="s">
        <v>66</v>
      </c>
      <c r="U64" s="37" t="s">
        <v>217</v>
      </c>
      <c r="V64" s="50" t="s">
        <v>38</v>
      </c>
      <c r="W64" s="61" t="s">
        <v>39</v>
      </c>
      <c r="X64" s="61" t="s">
        <v>40</v>
      </c>
      <c r="Y64" s="61" t="s">
        <v>234</v>
      </c>
      <c r="Z64" s="63" t="s">
        <v>42</v>
      </c>
    </row>
    <row r="65" spans="1:26" ht="57" customHeight="1" x14ac:dyDescent="0.25">
      <c r="A65" s="17" t="s">
        <v>213</v>
      </c>
      <c r="B65" s="37" t="s">
        <v>235</v>
      </c>
      <c r="C65" s="50" t="s">
        <v>236</v>
      </c>
      <c r="D65" s="50"/>
      <c r="E65" s="20">
        <v>44071</v>
      </c>
      <c r="F65" s="34" t="s">
        <v>148</v>
      </c>
      <c r="G65" s="34">
        <v>1</v>
      </c>
      <c r="H65" s="22" t="s">
        <v>31</v>
      </c>
      <c r="I65" s="58" t="s">
        <v>32</v>
      </c>
      <c r="J65" s="50" t="s">
        <v>233</v>
      </c>
      <c r="K65" s="58" t="s">
        <v>222</v>
      </c>
      <c r="L65" s="25">
        <f t="shared" ref="L65:L133" si="3">+M65+P65+Q65</f>
        <v>2850000</v>
      </c>
      <c r="M65" s="25">
        <f t="shared" si="2"/>
        <v>2850000</v>
      </c>
      <c r="N65" s="59">
        <v>2850000</v>
      </c>
      <c r="O65" s="59"/>
      <c r="P65" s="59"/>
      <c r="Q65" s="59"/>
      <c r="R65" s="65" t="s">
        <v>35</v>
      </c>
      <c r="S65" s="60" t="s">
        <v>36</v>
      </c>
      <c r="T65" s="61"/>
      <c r="U65" s="37" t="s">
        <v>217</v>
      </c>
      <c r="V65" s="62" t="s">
        <v>38</v>
      </c>
      <c r="W65" s="61" t="s">
        <v>39</v>
      </c>
      <c r="X65" s="61" t="s">
        <v>40</v>
      </c>
      <c r="Y65" s="61" t="s">
        <v>237</v>
      </c>
      <c r="Z65" s="63" t="s">
        <v>42</v>
      </c>
    </row>
    <row r="66" spans="1:26" ht="57" customHeight="1" x14ac:dyDescent="0.25">
      <c r="A66" s="17" t="s">
        <v>213</v>
      </c>
      <c r="B66" s="37" t="s">
        <v>235</v>
      </c>
      <c r="C66" s="50" t="s">
        <v>238</v>
      </c>
      <c r="D66" s="50"/>
      <c r="E66" s="20">
        <v>44134</v>
      </c>
      <c r="F66" s="34" t="s">
        <v>198</v>
      </c>
      <c r="G66" s="34">
        <v>1</v>
      </c>
      <c r="H66" s="22" t="s">
        <v>31</v>
      </c>
      <c r="I66" s="58" t="s">
        <v>32</v>
      </c>
      <c r="J66" s="50" t="s">
        <v>233</v>
      </c>
      <c r="K66" s="58" t="s">
        <v>222</v>
      </c>
      <c r="L66" s="25">
        <f t="shared" si="3"/>
        <v>3500000</v>
      </c>
      <c r="M66" s="25">
        <f t="shared" si="2"/>
        <v>3500000</v>
      </c>
      <c r="N66" s="59">
        <v>3500000</v>
      </c>
      <c r="O66" s="59"/>
      <c r="P66" s="59"/>
      <c r="Q66" s="59"/>
      <c r="R66" s="65" t="s">
        <v>35</v>
      </c>
      <c r="S66" s="60" t="s">
        <v>36</v>
      </c>
      <c r="T66" s="61"/>
      <c r="U66" s="37" t="s">
        <v>217</v>
      </c>
      <c r="V66" s="62" t="s">
        <v>38</v>
      </c>
      <c r="W66" s="61" t="s">
        <v>39</v>
      </c>
      <c r="X66" s="61" t="s">
        <v>40</v>
      </c>
      <c r="Y66" s="61" t="s">
        <v>239</v>
      </c>
      <c r="Z66" s="63" t="s">
        <v>42</v>
      </c>
    </row>
    <row r="67" spans="1:26" ht="57" customHeight="1" x14ac:dyDescent="0.25">
      <c r="A67" s="17" t="s">
        <v>213</v>
      </c>
      <c r="B67" s="37" t="s">
        <v>235</v>
      </c>
      <c r="C67" s="50" t="s">
        <v>240</v>
      </c>
      <c r="D67" s="50"/>
      <c r="E67" s="20">
        <v>44043</v>
      </c>
      <c r="F67" s="49" t="s">
        <v>104</v>
      </c>
      <c r="G67" s="34">
        <v>1</v>
      </c>
      <c r="H67" s="22" t="s">
        <v>31</v>
      </c>
      <c r="I67" s="58" t="s">
        <v>32</v>
      </c>
      <c r="J67" s="50" t="s">
        <v>233</v>
      </c>
      <c r="K67" s="58" t="s">
        <v>222</v>
      </c>
      <c r="L67" s="25">
        <f t="shared" si="3"/>
        <v>4250000</v>
      </c>
      <c r="M67" s="25">
        <f t="shared" si="2"/>
        <v>4250000</v>
      </c>
      <c r="N67" s="59">
        <v>4250000</v>
      </c>
      <c r="O67" s="59"/>
      <c r="P67" s="59"/>
      <c r="Q67" s="59"/>
      <c r="R67" s="65" t="s">
        <v>35</v>
      </c>
      <c r="S67" s="60" t="s">
        <v>36</v>
      </c>
      <c r="T67" s="61"/>
      <c r="U67" s="37" t="s">
        <v>217</v>
      </c>
      <c r="V67" s="62" t="s">
        <v>38</v>
      </c>
      <c r="W67" s="61" t="s">
        <v>39</v>
      </c>
      <c r="X67" s="61" t="s">
        <v>40</v>
      </c>
      <c r="Y67" s="61" t="s">
        <v>241</v>
      </c>
      <c r="Z67" s="63" t="s">
        <v>42</v>
      </c>
    </row>
    <row r="68" spans="1:26" ht="57" customHeight="1" x14ac:dyDescent="0.25">
      <c r="A68" s="17" t="s">
        <v>213</v>
      </c>
      <c r="B68" s="37" t="s">
        <v>235</v>
      </c>
      <c r="C68" s="50" t="s">
        <v>242</v>
      </c>
      <c r="D68" s="50"/>
      <c r="E68" s="20">
        <v>43921</v>
      </c>
      <c r="F68" s="28" t="s">
        <v>81</v>
      </c>
      <c r="G68" s="34" t="s">
        <v>243</v>
      </c>
      <c r="H68" s="22" t="s">
        <v>31</v>
      </c>
      <c r="I68" s="58" t="s">
        <v>32</v>
      </c>
      <c r="J68" s="50" t="s">
        <v>233</v>
      </c>
      <c r="K68" s="58" t="s">
        <v>222</v>
      </c>
      <c r="L68" s="25">
        <f t="shared" si="3"/>
        <v>8000000</v>
      </c>
      <c r="M68" s="25">
        <f t="shared" si="2"/>
        <v>8000000</v>
      </c>
      <c r="N68" s="59">
        <v>8000000</v>
      </c>
      <c r="O68" s="59"/>
      <c r="P68" s="59"/>
      <c r="Q68" s="59"/>
      <c r="R68" s="65" t="s">
        <v>35</v>
      </c>
      <c r="S68" s="60" t="s">
        <v>36</v>
      </c>
      <c r="T68" s="61"/>
      <c r="U68" s="37" t="s">
        <v>217</v>
      </c>
      <c r="V68" s="62" t="s">
        <v>38</v>
      </c>
      <c r="W68" s="61" t="s">
        <v>39</v>
      </c>
      <c r="X68" s="61" t="s">
        <v>40</v>
      </c>
      <c r="Y68" s="61" t="s">
        <v>244</v>
      </c>
      <c r="Z68" s="63" t="s">
        <v>42</v>
      </c>
    </row>
    <row r="69" spans="1:26" ht="57" customHeight="1" x14ac:dyDescent="0.25">
      <c r="A69" s="17" t="s">
        <v>213</v>
      </c>
      <c r="B69" s="37" t="s">
        <v>245</v>
      </c>
      <c r="C69" s="50" t="s">
        <v>246</v>
      </c>
      <c r="D69" s="50"/>
      <c r="E69" s="20">
        <v>43868</v>
      </c>
      <c r="F69" s="34" t="s">
        <v>185</v>
      </c>
      <c r="G69" s="66">
        <v>6</v>
      </c>
      <c r="H69" s="22" t="s">
        <v>31</v>
      </c>
      <c r="I69" s="58" t="s">
        <v>64</v>
      </c>
      <c r="J69" s="50" t="s">
        <v>247</v>
      </c>
      <c r="K69" s="58" t="s">
        <v>222</v>
      </c>
      <c r="L69" s="25">
        <f t="shared" si="3"/>
        <v>80000000</v>
      </c>
      <c r="M69" s="25">
        <f t="shared" si="2"/>
        <v>80000000</v>
      </c>
      <c r="N69" s="59">
        <f>149457409-69457409</f>
        <v>80000000</v>
      </c>
      <c r="O69" s="25">
        <v>0</v>
      </c>
      <c r="P69" s="59"/>
      <c r="Q69" s="59"/>
      <c r="R69" s="65" t="s">
        <v>35</v>
      </c>
      <c r="S69" s="60" t="s">
        <v>36</v>
      </c>
      <c r="T69" s="61" t="s">
        <v>66</v>
      </c>
      <c r="U69" s="37" t="s">
        <v>217</v>
      </c>
      <c r="V69" s="62" t="s">
        <v>38</v>
      </c>
      <c r="W69" s="61" t="s">
        <v>39</v>
      </c>
      <c r="X69" s="61" t="s">
        <v>40</v>
      </c>
      <c r="Y69" s="61" t="s">
        <v>248</v>
      </c>
      <c r="Z69" s="63" t="s">
        <v>42</v>
      </c>
    </row>
    <row r="70" spans="1:26" ht="42.75" customHeight="1" x14ac:dyDescent="0.25">
      <c r="A70" s="17" t="s">
        <v>213</v>
      </c>
      <c r="B70" s="18">
        <v>90121502</v>
      </c>
      <c r="C70" s="19" t="s">
        <v>249</v>
      </c>
      <c r="D70" s="33">
        <v>44074</v>
      </c>
      <c r="E70" s="20">
        <v>44043</v>
      </c>
      <c r="F70" s="21" t="s">
        <v>104</v>
      </c>
      <c r="G70" s="35">
        <v>12</v>
      </c>
      <c r="H70" s="22" t="s">
        <v>31</v>
      </c>
      <c r="I70" s="23" t="s">
        <v>46</v>
      </c>
      <c r="J70" s="23" t="s">
        <v>250</v>
      </c>
      <c r="K70" s="41" t="s">
        <v>251</v>
      </c>
      <c r="L70" s="25">
        <f t="shared" si="3"/>
        <v>1386243400</v>
      </c>
      <c r="M70" s="25">
        <f t="shared" si="2"/>
        <v>1386243400</v>
      </c>
      <c r="N70" s="25">
        <v>842797000</v>
      </c>
      <c r="O70" s="25">
        <v>543446400</v>
      </c>
      <c r="P70" s="25"/>
      <c r="Q70" s="25"/>
      <c r="R70" s="28" t="s">
        <v>252</v>
      </c>
      <c r="S70" s="28" t="s">
        <v>207</v>
      </c>
      <c r="T70" s="28" t="s">
        <v>48</v>
      </c>
      <c r="U70" s="28" t="s">
        <v>217</v>
      </c>
      <c r="V70" s="28" t="s">
        <v>38</v>
      </c>
      <c r="W70" s="28" t="s">
        <v>39</v>
      </c>
      <c r="X70" s="28" t="s">
        <v>40</v>
      </c>
      <c r="Y70" s="29" t="s">
        <v>253</v>
      </c>
      <c r="Z70" s="39" t="s">
        <v>42</v>
      </c>
    </row>
    <row r="71" spans="1:26" ht="57" customHeight="1" x14ac:dyDescent="0.25">
      <c r="A71" s="17" t="s">
        <v>213</v>
      </c>
      <c r="B71" s="37">
        <v>90121502</v>
      </c>
      <c r="C71" s="50" t="s">
        <v>483</v>
      </c>
      <c r="D71" s="50" t="s">
        <v>147</v>
      </c>
      <c r="E71" s="20">
        <v>44012</v>
      </c>
      <c r="F71" s="49" t="s">
        <v>104</v>
      </c>
      <c r="G71" s="66">
        <v>16.600000000000001</v>
      </c>
      <c r="H71" s="22" t="s">
        <v>31</v>
      </c>
      <c r="I71" s="19" t="s">
        <v>161</v>
      </c>
      <c r="J71" s="50" t="s">
        <v>250</v>
      </c>
      <c r="K71" s="58" t="s">
        <v>251</v>
      </c>
      <c r="L71" s="25">
        <f t="shared" si="3"/>
        <v>2424783222</v>
      </c>
      <c r="M71" s="25">
        <f t="shared" si="2"/>
        <v>286806648</v>
      </c>
      <c r="N71" s="59">
        <f>231902000-53846528</f>
        <v>178055472</v>
      </c>
      <c r="O71" s="59">
        <f>129999970-21248794</f>
        <v>108751176</v>
      </c>
      <c r="P71" s="59">
        <v>1739723436</v>
      </c>
      <c r="Q71" s="59">
        <v>398253138</v>
      </c>
      <c r="R71" s="28" t="s">
        <v>166</v>
      </c>
      <c r="S71" s="61" t="s">
        <v>162</v>
      </c>
      <c r="T71" s="61"/>
      <c r="U71" s="37" t="s">
        <v>217</v>
      </c>
      <c r="V71" s="62" t="s">
        <v>38</v>
      </c>
      <c r="W71" s="61" t="s">
        <v>39</v>
      </c>
      <c r="X71" s="61" t="s">
        <v>40</v>
      </c>
      <c r="Y71" s="61" t="s">
        <v>253</v>
      </c>
      <c r="Z71" s="63" t="s">
        <v>42</v>
      </c>
    </row>
    <row r="72" spans="1:26" ht="42.75" customHeight="1" x14ac:dyDescent="0.25">
      <c r="A72" s="17" t="s">
        <v>213</v>
      </c>
      <c r="B72" s="37">
        <v>43231505</v>
      </c>
      <c r="C72" s="50" t="s">
        <v>254</v>
      </c>
      <c r="D72" s="50"/>
      <c r="E72" s="20">
        <v>43868</v>
      </c>
      <c r="F72" s="34" t="s">
        <v>88</v>
      </c>
      <c r="G72" s="66">
        <v>11</v>
      </c>
      <c r="H72" s="22" t="s">
        <v>31</v>
      </c>
      <c r="I72" s="58" t="s">
        <v>32</v>
      </c>
      <c r="J72" s="50" t="s">
        <v>255</v>
      </c>
      <c r="K72" s="58" t="s">
        <v>256</v>
      </c>
      <c r="L72" s="25">
        <f t="shared" si="3"/>
        <v>96339068</v>
      </c>
      <c r="M72" s="25">
        <f t="shared" si="2"/>
        <v>96339068</v>
      </c>
      <c r="N72" s="103">
        <f>106472000- 10132932</f>
        <v>96339068</v>
      </c>
      <c r="O72" s="59"/>
      <c r="P72" s="59"/>
      <c r="Q72" s="59"/>
      <c r="R72" s="65" t="s">
        <v>35</v>
      </c>
      <c r="S72" s="60" t="s">
        <v>36</v>
      </c>
      <c r="T72" s="61" t="s">
        <v>90</v>
      </c>
      <c r="U72" s="37" t="s">
        <v>217</v>
      </c>
      <c r="V72" s="62" t="s">
        <v>38</v>
      </c>
      <c r="W72" s="61" t="s">
        <v>39</v>
      </c>
      <c r="X72" s="61" t="s">
        <v>40</v>
      </c>
      <c r="Y72" s="61" t="s">
        <v>253</v>
      </c>
      <c r="Z72" s="63" t="s">
        <v>42</v>
      </c>
    </row>
    <row r="73" spans="1:26" ht="73" customHeight="1" x14ac:dyDescent="0.25">
      <c r="A73" s="17" t="s">
        <v>213</v>
      </c>
      <c r="B73" s="37" t="s">
        <v>257</v>
      </c>
      <c r="C73" s="50" t="s">
        <v>258</v>
      </c>
      <c r="D73" s="50"/>
      <c r="E73" s="20">
        <v>43982</v>
      </c>
      <c r="F73" s="34" t="s">
        <v>30</v>
      </c>
      <c r="G73" s="66">
        <v>1</v>
      </c>
      <c r="H73" s="22" t="s">
        <v>31</v>
      </c>
      <c r="I73" s="58" t="s">
        <v>64</v>
      </c>
      <c r="J73" s="50" t="s">
        <v>228</v>
      </c>
      <c r="K73" s="58" t="s">
        <v>259</v>
      </c>
      <c r="L73" s="25">
        <f>+M73+P73+Q73</f>
        <v>224424480</v>
      </c>
      <c r="M73" s="25">
        <f>+O73+N73</f>
        <v>224424480</v>
      </c>
      <c r="N73" s="59">
        <v>224424480</v>
      </c>
      <c r="O73" s="59"/>
      <c r="P73" s="59"/>
      <c r="Q73" s="59"/>
      <c r="R73" s="65" t="s">
        <v>35</v>
      </c>
      <c r="S73" s="60" t="s">
        <v>36</v>
      </c>
      <c r="T73" s="61" t="s">
        <v>43</v>
      </c>
      <c r="U73" s="37" t="s">
        <v>217</v>
      </c>
      <c r="V73" s="62" t="s">
        <v>38</v>
      </c>
      <c r="W73" s="61" t="s">
        <v>39</v>
      </c>
      <c r="X73" s="61" t="s">
        <v>40</v>
      </c>
      <c r="Y73" s="61" t="s">
        <v>253</v>
      </c>
      <c r="Z73" s="63" t="s">
        <v>42</v>
      </c>
    </row>
    <row r="74" spans="1:26" ht="99.75" customHeight="1" x14ac:dyDescent="0.25">
      <c r="A74" s="17" t="s">
        <v>213</v>
      </c>
      <c r="B74" s="37">
        <v>80111500</v>
      </c>
      <c r="C74" s="50" t="s">
        <v>260</v>
      </c>
      <c r="D74" s="50"/>
      <c r="E74" s="20">
        <v>43861</v>
      </c>
      <c r="F74" s="21" t="s">
        <v>88</v>
      </c>
      <c r="G74" s="66">
        <v>10</v>
      </c>
      <c r="H74" s="22" t="s">
        <v>31</v>
      </c>
      <c r="I74" s="58" t="s">
        <v>32</v>
      </c>
      <c r="J74" s="50" t="s">
        <v>261</v>
      </c>
      <c r="K74" s="58" t="s">
        <v>34</v>
      </c>
      <c r="L74" s="25">
        <f>+M74+O72+Q74</f>
        <v>107917333</v>
      </c>
      <c r="M74" s="25">
        <f t="shared" si="2"/>
        <v>107917333</v>
      </c>
      <c r="N74" s="59">
        <f>114400000-6482667</f>
        <v>107917333</v>
      </c>
      <c r="O74" s="59"/>
      <c r="P74" s="38"/>
      <c r="Q74" s="59"/>
      <c r="R74" s="65" t="s">
        <v>35</v>
      </c>
      <c r="S74" s="60" t="s">
        <v>36</v>
      </c>
      <c r="T74" s="61" t="s">
        <v>90</v>
      </c>
      <c r="U74" s="37" t="s">
        <v>217</v>
      </c>
      <c r="V74" s="62" t="s">
        <v>38</v>
      </c>
      <c r="W74" s="61" t="s">
        <v>39</v>
      </c>
      <c r="X74" s="61" t="s">
        <v>40</v>
      </c>
      <c r="Y74" s="61" t="s">
        <v>262</v>
      </c>
      <c r="Z74" s="63" t="s">
        <v>42</v>
      </c>
    </row>
    <row r="75" spans="1:26" ht="42.75" customHeight="1" x14ac:dyDescent="0.25">
      <c r="A75" s="17" t="s">
        <v>263</v>
      </c>
      <c r="B75" s="18">
        <v>43233201</v>
      </c>
      <c r="C75" s="19" t="s">
        <v>264</v>
      </c>
      <c r="D75" s="19"/>
      <c r="E75" s="20">
        <v>43921</v>
      </c>
      <c r="F75" s="28" t="s">
        <v>50</v>
      </c>
      <c r="G75" s="66">
        <v>7</v>
      </c>
      <c r="H75" s="67" t="s">
        <v>31</v>
      </c>
      <c r="I75" s="23" t="s">
        <v>211</v>
      </c>
      <c r="J75" s="23" t="s">
        <v>265</v>
      </c>
      <c r="K75" s="41" t="s">
        <v>266</v>
      </c>
      <c r="L75" s="25">
        <f t="shared" si="3"/>
        <v>1378000</v>
      </c>
      <c r="M75" s="25">
        <f t="shared" si="2"/>
        <v>1378000</v>
      </c>
      <c r="N75" s="25">
        <f>4217500+353360-3192860</f>
        <v>1378000</v>
      </c>
      <c r="O75" s="25">
        <v>0</v>
      </c>
      <c r="P75" s="25"/>
      <c r="Q75" s="25"/>
      <c r="R75" s="28" t="s">
        <v>35</v>
      </c>
      <c r="S75" s="28" t="s">
        <v>36</v>
      </c>
      <c r="T75" s="28" t="s">
        <v>90</v>
      </c>
      <c r="U75" s="28" t="s">
        <v>267</v>
      </c>
      <c r="V75" s="28" t="s">
        <v>158</v>
      </c>
      <c r="W75" s="28" t="s">
        <v>39</v>
      </c>
      <c r="X75" s="28" t="s">
        <v>40</v>
      </c>
      <c r="Y75" s="29" t="s">
        <v>159</v>
      </c>
      <c r="Z75" s="68" t="s">
        <v>42</v>
      </c>
    </row>
    <row r="76" spans="1:26" ht="42.75" customHeight="1" x14ac:dyDescent="0.25">
      <c r="A76" s="17" t="s">
        <v>263</v>
      </c>
      <c r="B76" s="18">
        <v>43233202</v>
      </c>
      <c r="C76" s="19" t="s">
        <v>264</v>
      </c>
      <c r="D76" s="19"/>
      <c r="E76" s="20">
        <v>43922</v>
      </c>
      <c r="F76" s="28" t="s">
        <v>50</v>
      </c>
      <c r="G76" s="66">
        <v>8</v>
      </c>
      <c r="H76" s="67" t="s">
        <v>31</v>
      </c>
      <c r="I76" s="23" t="s">
        <v>211</v>
      </c>
      <c r="J76" s="23" t="s">
        <v>265</v>
      </c>
      <c r="K76" s="41" t="s">
        <v>268</v>
      </c>
      <c r="L76" s="25">
        <f>+M76+P76+Q76</f>
        <v>3192861</v>
      </c>
      <c r="M76" s="25">
        <f>+O76+N76</f>
        <v>3192861</v>
      </c>
      <c r="N76" s="25">
        <f>4217500+353360-1378000</f>
        <v>3192860</v>
      </c>
      <c r="O76" s="25">
        <v>1</v>
      </c>
      <c r="P76" s="25"/>
      <c r="Q76" s="25"/>
      <c r="R76" s="28" t="s">
        <v>35</v>
      </c>
      <c r="S76" s="28" t="s">
        <v>36</v>
      </c>
      <c r="T76" s="28" t="s">
        <v>43</v>
      </c>
      <c r="U76" s="28"/>
      <c r="V76" s="28"/>
      <c r="W76" s="28"/>
      <c r="X76" s="28"/>
      <c r="Y76" s="29"/>
      <c r="Z76" s="68"/>
    </row>
    <row r="77" spans="1:26" ht="71.25" customHeight="1" x14ac:dyDescent="0.25">
      <c r="A77" s="17" t="s">
        <v>263</v>
      </c>
      <c r="B77" s="28">
        <v>80141628</v>
      </c>
      <c r="C77" s="104" t="s">
        <v>269</v>
      </c>
      <c r="D77" s="104"/>
      <c r="E77" s="20">
        <v>43830</v>
      </c>
      <c r="F77" s="28" t="s">
        <v>138</v>
      </c>
      <c r="G77" s="105">
        <v>144</v>
      </c>
      <c r="H77" s="22" t="s">
        <v>31</v>
      </c>
      <c r="I77" s="23" t="s">
        <v>69</v>
      </c>
      <c r="J77" s="23" t="s">
        <v>270</v>
      </c>
      <c r="K77" s="106" t="s">
        <v>271</v>
      </c>
      <c r="L77" s="25">
        <f t="shared" si="3"/>
        <v>0</v>
      </c>
      <c r="M77" s="25">
        <f t="shared" si="2"/>
        <v>0</v>
      </c>
      <c r="N77" s="26">
        <v>0</v>
      </c>
      <c r="O77" s="25">
        <v>0</v>
      </c>
      <c r="P77" s="25"/>
      <c r="Q77" s="25"/>
      <c r="R77" s="28" t="s">
        <v>35</v>
      </c>
      <c r="S77" s="28" t="s">
        <v>36</v>
      </c>
      <c r="T77" s="28" t="s">
        <v>48</v>
      </c>
      <c r="U77" s="28" t="s">
        <v>267</v>
      </c>
      <c r="V77" s="28" t="s">
        <v>158</v>
      </c>
      <c r="W77" s="28" t="s">
        <v>39</v>
      </c>
      <c r="X77" s="28" t="s">
        <v>40</v>
      </c>
      <c r="Y77" s="29" t="s">
        <v>159</v>
      </c>
      <c r="Z77" s="68" t="s">
        <v>42</v>
      </c>
    </row>
    <row r="78" spans="1:26" ht="99.75" customHeight="1" x14ac:dyDescent="0.25">
      <c r="A78" s="17" t="s">
        <v>263</v>
      </c>
      <c r="B78" s="18">
        <v>80141628</v>
      </c>
      <c r="C78" s="19" t="s">
        <v>272</v>
      </c>
      <c r="D78" s="33">
        <v>44196</v>
      </c>
      <c r="E78" s="20">
        <v>44106</v>
      </c>
      <c r="F78" s="21" t="s">
        <v>198</v>
      </c>
      <c r="G78" s="35">
        <v>36</v>
      </c>
      <c r="H78" s="22" t="s">
        <v>31</v>
      </c>
      <c r="I78" s="23" t="s">
        <v>46</v>
      </c>
      <c r="J78" s="23" t="s">
        <v>273</v>
      </c>
      <c r="K78" s="41" t="s">
        <v>34</v>
      </c>
      <c r="L78" s="25">
        <f t="shared" si="3"/>
        <v>489053305</v>
      </c>
      <c r="M78" s="25">
        <f t="shared" si="2"/>
        <v>245282767</v>
      </c>
      <c r="N78" s="25">
        <f>255749105-10466338</f>
        <v>245282767</v>
      </c>
      <c r="O78" s="25">
        <v>0</v>
      </c>
      <c r="P78" s="25">
        <v>243770538</v>
      </c>
      <c r="Q78" s="25"/>
      <c r="R78" s="28" t="s">
        <v>166</v>
      </c>
      <c r="S78" s="28" t="s">
        <v>162</v>
      </c>
      <c r="T78" s="28" t="s">
        <v>48</v>
      </c>
      <c r="U78" s="28" t="s">
        <v>267</v>
      </c>
      <c r="V78" s="28" t="s">
        <v>158</v>
      </c>
      <c r="W78" s="28" t="s">
        <v>39</v>
      </c>
      <c r="X78" s="28" t="s">
        <v>40</v>
      </c>
      <c r="Y78" s="29" t="s">
        <v>159</v>
      </c>
      <c r="Z78" s="39" t="s">
        <v>42</v>
      </c>
    </row>
    <row r="79" spans="1:26" ht="128.25" customHeight="1" x14ac:dyDescent="0.25">
      <c r="A79" s="17" t="s">
        <v>263</v>
      </c>
      <c r="B79" s="18" t="s">
        <v>274</v>
      </c>
      <c r="C79" s="19" t="s">
        <v>275</v>
      </c>
      <c r="D79" s="19"/>
      <c r="E79" s="20"/>
      <c r="F79" s="21"/>
      <c r="G79" s="32">
        <v>33</v>
      </c>
      <c r="H79" s="22" t="s">
        <v>31</v>
      </c>
      <c r="I79" s="19" t="s">
        <v>276</v>
      </c>
      <c r="J79" s="28" t="s">
        <v>277</v>
      </c>
      <c r="K79" s="23" t="s">
        <v>34</v>
      </c>
      <c r="L79" s="25">
        <f t="shared" si="3"/>
        <v>14536796</v>
      </c>
      <c r="M79" s="25">
        <f t="shared" si="2"/>
        <v>5398272</v>
      </c>
      <c r="N79" s="25">
        <v>749760</v>
      </c>
      <c r="O79" s="25">
        <v>4648512</v>
      </c>
      <c r="P79" s="25">
        <v>5667840</v>
      </c>
      <c r="Q79" s="25">
        <v>3470684</v>
      </c>
      <c r="R79" s="28" t="s">
        <v>166</v>
      </c>
      <c r="S79" s="28" t="s">
        <v>162</v>
      </c>
      <c r="T79" s="28"/>
      <c r="U79" s="28" t="s">
        <v>278</v>
      </c>
      <c r="V79" s="28" t="s">
        <v>158</v>
      </c>
      <c r="W79" s="28" t="s">
        <v>39</v>
      </c>
      <c r="X79" s="28" t="s">
        <v>40</v>
      </c>
      <c r="Y79" s="29" t="s">
        <v>159</v>
      </c>
      <c r="Z79" s="39" t="s">
        <v>42</v>
      </c>
    </row>
    <row r="80" spans="1:26" ht="99.75" customHeight="1" x14ac:dyDescent="0.25">
      <c r="A80" s="17" t="s">
        <v>279</v>
      </c>
      <c r="B80" s="18">
        <v>81131504</v>
      </c>
      <c r="C80" s="19" t="s">
        <v>280</v>
      </c>
      <c r="D80" s="19"/>
      <c r="E80" s="20">
        <v>43921</v>
      </c>
      <c r="F80" s="69" t="s">
        <v>50</v>
      </c>
      <c r="G80" s="32">
        <v>5</v>
      </c>
      <c r="H80" s="22" t="s">
        <v>31</v>
      </c>
      <c r="I80" s="19" t="s">
        <v>281</v>
      </c>
      <c r="J80" s="28" t="s">
        <v>282</v>
      </c>
      <c r="K80" s="23" t="s">
        <v>34</v>
      </c>
      <c r="L80" s="25">
        <f t="shared" si="3"/>
        <v>115806040</v>
      </c>
      <c r="M80" s="25">
        <f t="shared" si="2"/>
        <v>115806040</v>
      </c>
      <c r="N80" s="25">
        <v>115806040</v>
      </c>
      <c r="O80" s="25">
        <v>0</v>
      </c>
      <c r="P80" s="25"/>
      <c r="Q80" s="25"/>
      <c r="R80" s="28" t="s">
        <v>35</v>
      </c>
      <c r="S80" s="28" t="s">
        <v>36</v>
      </c>
      <c r="T80" s="28"/>
      <c r="U80" s="28" t="s">
        <v>283</v>
      </c>
      <c r="V80" s="28" t="s">
        <v>158</v>
      </c>
      <c r="W80" s="28" t="s">
        <v>39</v>
      </c>
      <c r="X80" s="28" t="s">
        <v>40</v>
      </c>
      <c r="Y80" s="29" t="s">
        <v>41</v>
      </c>
      <c r="Z80" s="39" t="s">
        <v>42</v>
      </c>
    </row>
    <row r="81" spans="1:26" ht="71.25" customHeight="1" x14ac:dyDescent="0.25">
      <c r="A81" s="17" t="s">
        <v>279</v>
      </c>
      <c r="B81" s="18" t="s">
        <v>284</v>
      </c>
      <c r="C81" s="19" t="s">
        <v>285</v>
      </c>
      <c r="D81" s="19"/>
      <c r="E81" s="20">
        <v>43889</v>
      </c>
      <c r="F81" s="34" t="s">
        <v>50</v>
      </c>
      <c r="G81" s="35">
        <v>8</v>
      </c>
      <c r="H81" s="28" t="s">
        <v>31</v>
      </c>
      <c r="I81" s="19" t="s">
        <v>132</v>
      </c>
      <c r="J81" s="28" t="s">
        <v>286</v>
      </c>
      <c r="K81" s="23" t="s">
        <v>34</v>
      </c>
      <c r="L81" s="25">
        <f t="shared" si="3"/>
        <v>14000000</v>
      </c>
      <c r="M81" s="25">
        <f t="shared" si="2"/>
        <v>14000000</v>
      </c>
      <c r="N81" s="25">
        <v>14000000</v>
      </c>
      <c r="O81" s="25">
        <v>0</v>
      </c>
      <c r="P81" s="25"/>
      <c r="Q81" s="25"/>
      <c r="R81" s="28" t="s">
        <v>35</v>
      </c>
      <c r="S81" s="28" t="s">
        <v>36</v>
      </c>
      <c r="T81" s="28" t="s">
        <v>66</v>
      </c>
      <c r="U81" s="28" t="s">
        <v>283</v>
      </c>
      <c r="V81" s="28" t="s">
        <v>158</v>
      </c>
      <c r="W81" s="28" t="s">
        <v>39</v>
      </c>
      <c r="X81" s="28" t="s">
        <v>40</v>
      </c>
      <c r="Y81" s="29" t="s">
        <v>41</v>
      </c>
      <c r="Z81" s="39" t="s">
        <v>42</v>
      </c>
    </row>
    <row r="82" spans="1:26" ht="42.75" customHeight="1" x14ac:dyDescent="0.25">
      <c r="A82" s="17" t="s">
        <v>279</v>
      </c>
      <c r="B82" s="18">
        <v>83111507</v>
      </c>
      <c r="C82" s="19" t="s">
        <v>287</v>
      </c>
      <c r="D82" s="33">
        <v>43982</v>
      </c>
      <c r="E82" s="20">
        <v>43889</v>
      </c>
      <c r="F82" s="21" t="s">
        <v>75</v>
      </c>
      <c r="G82" s="35">
        <v>12</v>
      </c>
      <c r="H82" s="22" t="s">
        <v>31</v>
      </c>
      <c r="I82" s="23" t="s">
        <v>46</v>
      </c>
      <c r="J82" s="23" t="s">
        <v>288</v>
      </c>
      <c r="K82" s="41" t="s">
        <v>34</v>
      </c>
      <c r="L82" s="25">
        <f t="shared" si="3"/>
        <v>176278662</v>
      </c>
      <c r="M82" s="25">
        <f t="shared" si="2"/>
        <v>176278662</v>
      </c>
      <c r="N82" s="25">
        <f>163869848+2740320+9668494</f>
        <v>176278662</v>
      </c>
      <c r="O82" s="25">
        <v>0</v>
      </c>
      <c r="P82" s="25"/>
      <c r="Q82" s="25"/>
      <c r="R82" s="28" t="s">
        <v>35</v>
      </c>
      <c r="S82" s="28" t="s">
        <v>36</v>
      </c>
      <c r="T82" s="28" t="s">
        <v>48</v>
      </c>
      <c r="U82" s="28" t="s">
        <v>283</v>
      </c>
      <c r="V82" s="28" t="s">
        <v>158</v>
      </c>
      <c r="W82" s="28" t="s">
        <v>39</v>
      </c>
      <c r="X82" s="28" t="s">
        <v>40</v>
      </c>
      <c r="Y82" s="29" t="s">
        <v>41</v>
      </c>
      <c r="Z82" s="39" t="s">
        <v>42</v>
      </c>
    </row>
    <row r="83" spans="1:26" ht="42.75" customHeight="1" x14ac:dyDescent="0.25">
      <c r="A83" s="17" t="s">
        <v>279</v>
      </c>
      <c r="B83" s="18">
        <v>83111508</v>
      </c>
      <c r="C83" s="19" t="s">
        <v>289</v>
      </c>
      <c r="D83" s="33"/>
      <c r="E83" s="20">
        <v>43951</v>
      </c>
      <c r="F83" s="21" t="s">
        <v>50</v>
      </c>
      <c r="G83" s="35">
        <v>11</v>
      </c>
      <c r="H83" s="22" t="s">
        <v>31</v>
      </c>
      <c r="I83" s="23" t="s">
        <v>161</v>
      </c>
      <c r="J83" s="23" t="s">
        <v>288</v>
      </c>
      <c r="K83" s="41" t="s">
        <v>98</v>
      </c>
      <c r="L83" s="25">
        <f>+M83+P83+Q83</f>
        <v>361954155</v>
      </c>
      <c r="M83" s="25">
        <f t="shared" si="2"/>
        <v>231154978</v>
      </c>
      <c r="N83" s="25">
        <f>308096511-76941533</f>
        <v>231154978</v>
      </c>
      <c r="O83" s="25"/>
      <c r="P83" s="25">
        <f>186415885-55616708</f>
        <v>130799177</v>
      </c>
      <c r="Q83" s="25"/>
      <c r="R83" s="28" t="s">
        <v>252</v>
      </c>
      <c r="S83" s="28" t="s">
        <v>162</v>
      </c>
      <c r="T83" s="28" t="s">
        <v>66</v>
      </c>
      <c r="U83" s="28" t="s">
        <v>283</v>
      </c>
      <c r="V83" s="28" t="s">
        <v>158</v>
      </c>
      <c r="W83" s="28" t="s">
        <v>39</v>
      </c>
      <c r="X83" s="28" t="s">
        <v>40</v>
      </c>
      <c r="Y83" s="29" t="s">
        <v>101</v>
      </c>
      <c r="Z83" s="39" t="s">
        <v>42</v>
      </c>
    </row>
    <row r="84" spans="1:26" ht="43.5" customHeight="1" x14ac:dyDescent="0.25">
      <c r="A84" s="17" t="s">
        <v>279</v>
      </c>
      <c r="B84" s="18" t="s">
        <v>290</v>
      </c>
      <c r="C84" s="19" t="s">
        <v>285</v>
      </c>
      <c r="D84" s="19"/>
      <c r="E84" s="20">
        <v>43889</v>
      </c>
      <c r="F84" s="34" t="s">
        <v>50</v>
      </c>
      <c r="G84" s="35">
        <v>8</v>
      </c>
      <c r="H84" s="28" t="s">
        <v>31</v>
      </c>
      <c r="I84" s="19" t="s">
        <v>132</v>
      </c>
      <c r="J84" s="28" t="s">
        <v>291</v>
      </c>
      <c r="K84" s="23" t="s">
        <v>34</v>
      </c>
      <c r="L84" s="25">
        <f t="shared" si="3"/>
        <v>21218000</v>
      </c>
      <c r="M84" s="25">
        <f t="shared" si="2"/>
        <v>21218000</v>
      </c>
      <c r="N84" s="25">
        <v>21218000</v>
      </c>
      <c r="O84" s="25" t="s">
        <v>100</v>
      </c>
      <c r="P84" s="25"/>
      <c r="Q84" s="25"/>
      <c r="R84" s="28" t="s">
        <v>35</v>
      </c>
      <c r="S84" s="28" t="s">
        <v>36</v>
      </c>
      <c r="T84" s="28" t="s">
        <v>66</v>
      </c>
      <c r="U84" s="28" t="s">
        <v>283</v>
      </c>
      <c r="V84" s="28" t="s">
        <v>158</v>
      </c>
      <c r="W84" s="28" t="s">
        <v>39</v>
      </c>
      <c r="X84" s="28" t="s">
        <v>40</v>
      </c>
      <c r="Y84" s="29" t="s">
        <v>41</v>
      </c>
      <c r="Z84" s="39" t="s">
        <v>42</v>
      </c>
    </row>
    <row r="85" spans="1:26" ht="99.75" customHeight="1" x14ac:dyDescent="0.25">
      <c r="A85" s="17" t="s">
        <v>292</v>
      </c>
      <c r="B85" s="18">
        <v>81112501</v>
      </c>
      <c r="C85" s="19" t="s">
        <v>293</v>
      </c>
      <c r="D85" s="19"/>
      <c r="E85" s="20">
        <v>43861</v>
      </c>
      <c r="F85" s="31" t="s">
        <v>88</v>
      </c>
      <c r="G85" s="32">
        <v>1</v>
      </c>
      <c r="H85" s="22" t="s">
        <v>31</v>
      </c>
      <c r="I85" s="19" t="s">
        <v>32</v>
      </c>
      <c r="J85" s="28" t="s">
        <v>294</v>
      </c>
      <c r="K85" s="23" t="s">
        <v>256</v>
      </c>
      <c r="L85" s="25">
        <f t="shared" si="3"/>
        <v>124398741.31</v>
      </c>
      <c r="M85" s="25">
        <f t="shared" si="2"/>
        <v>124398741.31</v>
      </c>
      <c r="N85" s="25">
        <v>124398741.31</v>
      </c>
      <c r="O85" s="25"/>
      <c r="P85" s="25"/>
      <c r="Q85" s="25"/>
      <c r="R85" s="28" t="s">
        <v>35</v>
      </c>
      <c r="S85" s="28" t="s">
        <v>36</v>
      </c>
      <c r="T85" s="28" t="s">
        <v>90</v>
      </c>
      <c r="U85" s="28" t="s">
        <v>295</v>
      </c>
      <c r="V85" s="28" t="s">
        <v>292</v>
      </c>
      <c r="W85" s="28" t="s">
        <v>39</v>
      </c>
      <c r="X85" s="28" t="s">
        <v>40</v>
      </c>
      <c r="Y85" s="29" t="s">
        <v>159</v>
      </c>
      <c r="Z85" s="39" t="s">
        <v>42</v>
      </c>
    </row>
    <row r="86" spans="1:26" ht="59.25" customHeight="1" x14ac:dyDescent="0.25">
      <c r="A86" s="17" t="s">
        <v>292</v>
      </c>
      <c r="B86" s="18" t="s">
        <v>296</v>
      </c>
      <c r="C86" s="19" t="s">
        <v>131</v>
      </c>
      <c r="D86" s="19"/>
      <c r="E86" s="20">
        <v>43889</v>
      </c>
      <c r="F86" s="34" t="s">
        <v>50</v>
      </c>
      <c r="G86" s="35">
        <v>8</v>
      </c>
      <c r="H86" s="28" t="s">
        <v>31</v>
      </c>
      <c r="I86" s="19" t="s">
        <v>132</v>
      </c>
      <c r="J86" s="28" t="s">
        <v>297</v>
      </c>
      <c r="K86" s="23" t="s">
        <v>34</v>
      </c>
      <c r="L86" s="25">
        <f t="shared" si="3"/>
        <v>31827000</v>
      </c>
      <c r="M86" s="25">
        <f t="shared" si="2"/>
        <v>31827000</v>
      </c>
      <c r="N86" s="25">
        <v>31827000</v>
      </c>
      <c r="O86" s="25"/>
      <c r="P86" s="25"/>
      <c r="Q86" s="25"/>
      <c r="R86" s="28" t="s">
        <v>35</v>
      </c>
      <c r="S86" s="28" t="s">
        <v>36</v>
      </c>
      <c r="T86" s="28" t="s">
        <v>66</v>
      </c>
      <c r="U86" s="28" t="s">
        <v>295</v>
      </c>
      <c r="V86" s="28" t="s">
        <v>292</v>
      </c>
      <c r="W86" s="28" t="s">
        <v>39</v>
      </c>
      <c r="X86" s="28" t="s">
        <v>40</v>
      </c>
      <c r="Y86" s="29" t="s">
        <v>159</v>
      </c>
      <c r="Z86" s="39" t="s">
        <v>42</v>
      </c>
    </row>
    <row r="87" spans="1:26" ht="42.75" customHeight="1" x14ac:dyDescent="0.25">
      <c r="A87" s="17" t="s">
        <v>298</v>
      </c>
      <c r="B87" s="18">
        <v>60105412</v>
      </c>
      <c r="C87" s="19" t="s">
        <v>299</v>
      </c>
      <c r="D87" s="33">
        <v>44196</v>
      </c>
      <c r="E87" s="20">
        <v>43921</v>
      </c>
      <c r="F87" s="31" t="s">
        <v>81</v>
      </c>
      <c r="G87" s="70">
        <v>12</v>
      </c>
      <c r="H87" s="40" t="s">
        <v>31</v>
      </c>
      <c r="I87" s="19" t="s">
        <v>115</v>
      </c>
      <c r="J87" s="28" t="s">
        <v>300</v>
      </c>
      <c r="K87" s="23" t="s">
        <v>34</v>
      </c>
      <c r="L87" s="25">
        <f t="shared" si="3"/>
        <v>15810845400</v>
      </c>
      <c r="M87" s="25">
        <f t="shared" si="2"/>
        <v>15810845400</v>
      </c>
      <c r="N87" s="25" t="s">
        <v>100</v>
      </c>
      <c r="O87" s="25">
        <v>15810845400</v>
      </c>
      <c r="P87" s="25"/>
      <c r="Q87" s="25"/>
      <c r="R87" s="28" t="s">
        <v>35</v>
      </c>
      <c r="S87" s="28" t="s">
        <v>36</v>
      </c>
      <c r="T87" s="28" t="s">
        <v>90</v>
      </c>
      <c r="U87" s="28" t="s">
        <v>301</v>
      </c>
      <c r="V87" s="28" t="s">
        <v>158</v>
      </c>
      <c r="W87" s="28" t="s">
        <v>39</v>
      </c>
      <c r="X87" s="28" t="s">
        <v>40</v>
      </c>
      <c r="Y87" s="29" t="s">
        <v>302</v>
      </c>
      <c r="Z87" s="39" t="s">
        <v>42</v>
      </c>
    </row>
    <row r="88" spans="1:26" ht="114" customHeight="1" x14ac:dyDescent="0.25">
      <c r="A88" s="17" t="s">
        <v>298</v>
      </c>
      <c r="B88" s="18">
        <v>84131501</v>
      </c>
      <c r="C88" s="19" t="s">
        <v>304</v>
      </c>
      <c r="D88" s="19"/>
      <c r="E88" s="33">
        <v>43833</v>
      </c>
      <c r="F88" s="31" t="s">
        <v>88</v>
      </c>
      <c r="G88" s="70">
        <v>10.5</v>
      </c>
      <c r="H88" s="40" t="s">
        <v>31</v>
      </c>
      <c r="I88" s="19" t="s">
        <v>281</v>
      </c>
      <c r="J88" s="107" t="s">
        <v>305</v>
      </c>
      <c r="K88" s="23" t="s">
        <v>34</v>
      </c>
      <c r="L88" s="25">
        <f t="shared" si="3"/>
        <v>752719920</v>
      </c>
      <c r="M88" s="25">
        <f t="shared" si="2"/>
        <v>752719920</v>
      </c>
      <c r="N88" s="25" t="s">
        <v>100</v>
      </c>
      <c r="O88" s="25">
        <v>752719920</v>
      </c>
      <c r="P88" s="25"/>
      <c r="Q88" s="25"/>
      <c r="R88" s="28" t="s">
        <v>35</v>
      </c>
      <c r="S88" s="28" t="s">
        <v>36</v>
      </c>
      <c r="T88" s="28" t="s">
        <v>90</v>
      </c>
      <c r="U88" s="28" t="s">
        <v>301</v>
      </c>
      <c r="V88" s="28" t="s">
        <v>158</v>
      </c>
      <c r="W88" s="28" t="s">
        <v>39</v>
      </c>
      <c r="X88" s="28" t="s">
        <v>40</v>
      </c>
      <c r="Y88" s="29" t="s">
        <v>302</v>
      </c>
      <c r="Z88" s="39" t="s">
        <v>42</v>
      </c>
    </row>
    <row r="89" spans="1:26" ht="75.650000000000006" customHeight="1" x14ac:dyDescent="0.25">
      <c r="A89" s="17" t="s">
        <v>306</v>
      </c>
      <c r="B89" s="18">
        <v>81112211</v>
      </c>
      <c r="C89" s="19" t="s">
        <v>307</v>
      </c>
      <c r="D89" s="19"/>
      <c r="E89" s="20">
        <v>43903</v>
      </c>
      <c r="F89" s="31" t="s">
        <v>75</v>
      </c>
      <c r="G89" s="70">
        <v>9</v>
      </c>
      <c r="H89" s="22" t="s">
        <v>31</v>
      </c>
      <c r="I89" s="19" t="s">
        <v>32</v>
      </c>
      <c r="J89" s="28" t="s">
        <v>308</v>
      </c>
      <c r="K89" s="71" t="s">
        <v>309</v>
      </c>
      <c r="L89" s="25">
        <f t="shared" si="3"/>
        <v>64252920</v>
      </c>
      <c r="M89" s="25">
        <f t="shared" si="2"/>
        <v>64252920</v>
      </c>
      <c r="N89" s="25">
        <v>64252920</v>
      </c>
      <c r="O89" s="25">
        <v>0</v>
      </c>
      <c r="P89" s="25"/>
      <c r="Q89" s="25"/>
      <c r="R89" s="28" t="s">
        <v>35</v>
      </c>
      <c r="S89" s="28" t="s">
        <v>36</v>
      </c>
      <c r="T89" s="28" t="s">
        <v>90</v>
      </c>
      <c r="U89" s="28" t="s">
        <v>310</v>
      </c>
      <c r="V89" s="28" t="s">
        <v>158</v>
      </c>
      <c r="W89" s="28" t="s">
        <v>39</v>
      </c>
      <c r="X89" s="28" t="s">
        <v>40</v>
      </c>
      <c r="Y89" s="29" t="s">
        <v>302</v>
      </c>
      <c r="Z89" s="39" t="s">
        <v>42</v>
      </c>
    </row>
    <row r="90" spans="1:26" ht="38.25" customHeight="1" x14ac:dyDescent="0.25">
      <c r="A90" s="17" t="s">
        <v>306</v>
      </c>
      <c r="B90" s="18" t="s">
        <v>311</v>
      </c>
      <c r="C90" s="19" t="s">
        <v>312</v>
      </c>
      <c r="D90" s="19"/>
      <c r="E90" s="20">
        <v>43903</v>
      </c>
      <c r="F90" s="21" t="s">
        <v>50</v>
      </c>
      <c r="G90" s="70">
        <v>9</v>
      </c>
      <c r="H90" s="40" t="s">
        <v>31</v>
      </c>
      <c r="I90" s="19" t="s">
        <v>181</v>
      </c>
      <c r="J90" s="28" t="s">
        <v>313</v>
      </c>
      <c r="K90" s="71" t="s">
        <v>314</v>
      </c>
      <c r="L90" s="25">
        <f t="shared" si="3"/>
        <v>54583120</v>
      </c>
      <c r="M90" s="25">
        <f t="shared" si="2"/>
        <v>54583120</v>
      </c>
      <c r="N90" s="25">
        <f>60000000-43625064</f>
        <v>16374936</v>
      </c>
      <c r="O90" s="25">
        <f>60000000-21791816</f>
        <v>38208184</v>
      </c>
      <c r="P90" s="25"/>
      <c r="Q90" s="25"/>
      <c r="R90" s="28" t="s">
        <v>35</v>
      </c>
      <c r="S90" s="28" t="s">
        <v>36</v>
      </c>
      <c r="T90" s="28" t="s">
        <v>66</v>
      </c>
      <c r="U90" s="28" t="s">
        <v>310</v>
      </c>
      <c r="V90" s="28" t="s">
        <v>158</v>
      </c>
      <c r="W90" s="28" t="s">
        <v>39</v>
      </c>
      <c r="X90" s="28" t="s">
        <v>40</v>
      </c>
      <c r="Y90" s="29" t="s">
        <v>302</v>
      </c>
      <c r="Z90" s="39" t="s">
        <v>42</v>
      </c>
    </row>
    <row r="91" spans="1:26" ht="38.25" customHeight="1" x14ac:dyDescent="0.25">
      <c r="A91" s="17" t="s">
        <v>306</v>
      </c>
      <c r="B91" s="18" t="s">
        <v>311</v>
      </c>
      <c r="C91" s="19" t="s">
        <v>315</v>
      </c>
      <c r="D91" s="19"/>
      <c r="E91" s="20">
        <v>43981</v>
      </c>
      <c r="F91" s="21" t="s">
        <v>30</v>
      </c>
      <c r="G91" s="70">
        <v>10</v>
      </c>
      <c r="H91" s="40" t="s">
        <v>31</v>
      </c>
      <c r="I91" s="19" t="s">
        <v>161</v>
      </c>
      <c r="J91" s="28" t="s">
        <v>313</v>
      </c>
      <c r="K91" s="71" t="s">
        <v>316</v>
      </c>
      <c r="L91" s="25">
        <f>+M91+P91+Q91</f>
        <v>65416880</v>
      </c>
      <c r="M91" s="25">
        <f>+O91+N91</f>
        <v>65416880</v>
      </c>
      <c r="N91" s="25">
        <v>19625064</v>
      </c>
      <c r="O91" s="25">
        <v>45791816</v>
      </c>
      <c r="P91" s="25"/>
      <c r="Q91" s="25"/>
      <c r="R91" s="28" t="s">
        <v>35</v>
      </c>
      <c r="S91" s="28" t="s">
        <v>36</v>
      </c>
      <c r="T91" s="28" t="s">
        <v>66</v>
      </c>
      <c r="U91" s="28" t="s">
        <v>310</v>
      </c>
      <c r="V91" s="28" t="s">
        <v>158</v>
      </c>
      <c r="W91" s="28" t="s">
        <v>39</v>
      </c>
      <c r="X91" s="28" t="s">
        <v>40</v>
      </c>
      <c r="Y91" s="29" t="s">
        <v>303</v>
      </c>
      <c r="Z91" s="39" t="s">
        <v>42</v>
      </c>
    </row>
    <row r="92" spans="1:26" ht="57" customHeight="1" x14ac:dyDescent="0.25">
      <c r="A92" s="17" t="s">
        <v>306</v>
      </c>
      <c r="B92" s="18">
        <v>44103103</v>
      </c>
      <c r="C92" s="19" t="s">
        <v>317</v>
      </c>
      <c r="D92" s="19"/>
      <c r="E92" s="20">
        <v>43951</v>
      </c>
      <c r="F92" s="69" t="s">
        <v>30</v>
      </c>
      <c r="G92" s="70">
        <v>6</v>
      </c>
      <c r="H92" s="40" t="s">
        <v>31</v>
      </c>
      <c r="I92" s="19" t="s">
        <v>161</v>
      </c>
      <c r="J92" s="28" t="s">
        <v>318</v>
      </c>
      <c r="K92" s="71" t="s">
        <v>319</v>
      </c>
      <c r="L92" s="25">
        <f t="shared" si="3"/>
        <v>53435752</v>
      </c>
      <c r="M92" s="25">
        <f t="shared" si="2"/>
        <v>53435752</v>
      </c>
      <c r="N92" s="25">
        <f>140000000-123969274</f>
        <v>16030726</v>
      </c>
      <c r="O92" s="25">
        <f>60000000-22594974</f>
        <v>37405026</v>
      </c>
      <c r="P92" s="25"/>
      <c r="Q92" s="25"/>
      <c r="R92" s="28" t="s">
        <v>35</v>
      </c>
      <c r="S92" s="28" t="s">
        <v>36</v>
      </c>
      <c r="T92" s="28" t="s">
        <v>66</v>
      </c>
      <c r="U92" s="28" t="s">
        <v>310</v>
      </c>
      <c r="V92" s="28" t="s">
        <v>158</v>
      </c>
      <c r="W92" s="28" t="s">
        <v>39</v>
      </c>
      <c r="X92" s="28" t="s">
        <v>40</v>
      </c>
      <c r="Y92" s="29" t="s">
        <v>302</v>
      </c>
      <c r="Z92" s="39" t="s">
        <v>42</v>
      </c>
    </row>
    <row r="93" spans="1:26" ht="57" customHeight="1" x14ac:dyDescent="0.25">
      <c r="A93" s="17" t="s">
        <v>306</v>
      </c>
      <c r="B93" s="18">
        <v>44103103</v>
      </c>
      <c r="C93" s="19" t="s">
        <v>320</v>
      </c>
      <c r="D93" s="19"/>
      <c r="E93" s="20">
        <v>43951</v>
      </c>
      <c r="F93" s="69" t="s">
        <v>30</v>
      </c>
      <c r="G93" s="70">
        <v>1</v>
      </c>
      <c r="H93" s="40" t="s">
        <v>31</v>
      </c>
      <c r="I93" s="19" t="s">
        <v>181</v>
      </c>
      <c r="J93" s="28" t="s">
        <v>318</v>
      </c>
      <c r="K93" s="71" t="s">
        <v>319</v>
      </c>
      <c r="L93" s="25">
        <f>+M93+P93+Q93</f>
        <v>146564248</v>
      </c>
      <c r="M93" s="25">
        <f>+O93+N93</f>
        <v>146564248</v>
      </c>
      <c r="N93" s="25">
        <f>123969274</f>
        <v>123969274</v>
      </c>
      <c r="O93" s="25">
        <f>22594974</f>
        <v>22594974</v>
      </c>
      <c r="P93" s="25"/>
      <c r="Q93" s="25"/>
      <c r="R93" s="28" t="s">
        <v>35</v>
      </c>
      <c r="S93" s="28" t="s">
        <v>36</v>
      </c>
      <c r="T93" s="28" t="s">
        <v>66</v>
      </c>
      <c r="U93" s="28" t="s">
        <v>310</v>
      </c>
      <c r="V93" s="28" t="s">
        <v>158</v>
      </c>
      <c r="W93" s="28" t="s">
        <v>39</v>
      </c>
      <c r="X93" s="28" t="s">
        <v>40</v>
      </c>
      <c r="Y93" s="29" t="s">
        <v>302</v>
      </c>
      <c r="Z93" s="39" t="s">
        <v>42</v>
      </c>
    </row>
    <row r="94" spans="1:26" ht="71.25" customHeight="1" x14ac:dyDescent="0.25">
      <c r="A94" s="17" t="s">
        <v>321</v>
      </c>
      <c r="B94" s="18" t="s">
        <v>311</v>
      </c>
      <c r="C94" s="19" t="s">
        <v>322</v>
      </c>
      <c r="D94" s="19"/>
      <c r="E94" s="20">
        <v>43889</v>
      </c>
      <c r="F94" s="69" t="s">
        <v>81</v>
      </c>
      <c r="G94" s="70" t="s">
        <v>76</v>
      </c>
      <c r="H94" s="40" t="s">
        <v>31</v>
      </c>
      <c r="I94" s="19" t="s">
        <v>181</v>
      </c>
      <c r="J94" s="28" t="s">
        <v>323</v>
      </c>
      <c r="K94" s="71" t="s">
        <v>324</v>
      </c>
      <c r="L94" s="25">
        <f>+M94+P94+Q94</f>
        <v>100000000</v>
      </c>
      <c r="M94" s="25">
        <f t="shared" si="2"/>
        <v>100000000</v>
      </c>
      <c r="N94" s="25">
        <v>100000000</v>
      </c>
      <c r="O94" s="25" t="s">
        <v>100</v>
      </c>
      <c r="P94" s="25"/>
      <c r="Q94" s="25"/>
      <c r="R94" s="28" t="s">
        <v>35</v>
      </c>
      <c r="S94" s="28" t="s">
        <v>36</v>
      </c>
      <c r="T94" s="28" t="s">
        <v>66</v>
      </c>
      <c r="U94" s="28" t="s">
        <v>301</v>
      </c>
      <c r="V94" s="28" t="s">
        <v>158</v>
      </c>
      <c r="W94" s="28" t="s">
        <v>39</v>
      </c>
      <c r="X94" s="28" t="s">
        <v>40</v>
      </c>
      <c r="Y94" s="29" t="s">
        <v>302</v>
      </c>
      <c r="Z94" s="39" t="s">
        <v>42</v>
      </c>
    </row>
    <row r="95" spans="1:26" ht="71.25" customHeight="1" x14ac:dyDescent="0.25">
      <c r="A95" s="17" t="s">
        <v>321</v>
      </c>
      <c r="B95" s="18" t="s">
        <v>325</v>
      </c>
      <c r="C95" s="19" t="s">
        <v>326</v>
      </c>
      <c r="D95" s="19"/>
      <c r="E95" s="20">
        <v>43889</v>
      </c>
      <c r="F95" s="69" t="s">
        <v>81</v>
      </c>
      <c r="G95" s="70">
        <v>2</v>
      </c>
      <c r="H95" s="40" t="s">
        <v>31</v>
      </c>
      <c r="I95" s="19" t="s">
        <v>211</v>
      </c>
      <c r="J95" s="28" t="s">
        <v>327</v>
      </c>
      <c r="K95" s="71" t="s">
        <v>328</v>
      </c>
      <c r="L95" s="25">
        <f>+M95+P95+Q95</f>
        <v>7998000</v>
      </c>
      <c r="M95" s="25">
        <f t="shared" si="2"/>
        <v>7998000</v>
      </c>
      <c r="N95" s="25">
        <f>10000000-2002000</f>
        <v>7998000</v>
      </c>
      <c r="O95" s="25" t="s">
        <v>100</v>
      </c>
      <c r="P95" s="25"/>
      <c r="Q95" s="25"/>
      <c r="R95" s="28" t="s">
        <v>35</v>
      </c>
      <c r="S95" s="28" t="s">
        <v>36</v>
      </c>
      <c r="T95" s="28" t="s">
        <v>90</v>
      </c>
      <c r="U95" s="28" t="s">
        <v>301</v>
      </c>
      <c r="V95" s="28" t="s">
        <v>158</v>
      </c>
      <c r="W95" s="28" t="s">
        <v>39</v>
      </c>
      <c r="X95" s="28" t="s">
        <v>40</v>
      </c>
      <c r="Y95" s="29" t="s">
        <v>302</v>
      </c>
      <c r="Z95" s="39" t="s">
        <v>42</v>
      </c>
    </row>
    <row r="96" spans="1:26" ht="42.75" customHeight="1" x14ac:dyDescent="0.25">
      <c r="A96" s="17" t="s">
        <v>321</v>
      </c>
      <c r="B96" s="18" t="s">
        <v>329</v>
      </c>
      <c r="C96" s="19" t="s">
        <v>330</v>
      </c>
      <c r="D96" s="33">
        <v>44012</v>
      </c>
      <c r="E96" s="101"/>
      <c r="F96" s="21"/>
      <c r="G96" s="35" t="s">
        <v>76</v>
      </c>
      <c r="H96" s="22" t="s">
        <v>31</v>
      </c>
      <c r="I96" s="23" t="s">
        <v>46</v>
      </c>
      <c r="J96" s="23" t="s">
        <v>331</v>
      </c>
      <c r="K96" s="41" t="s">
        <v>34</v>
      </c>
      <c r="L96" s="25">
        <f t="shared" si="3"/>
        <v>332618904</v>
      </c>
      <c r="M96" s="25">
        <f t="shared" si="2"/>
        <v>332618904</v>
      </c>
      <c r="N96" s="25">
        <f>332618904</f>
        <v>332618904</v>
      </c>
      <c r="O96" s="25" t="s">
        <v>100</v>
      </c>
      <c r="P96" s="25"/>
      <c r="Q96" s="25"/>
      <c r="R96" s="28" t="s">
        <v>35</v>
      </c>
      <c r="S96" s="28" t="s">
        <v>36</v>
      </c>
      <c r="T96" s="28" t="s">
        <v>48</v>
      </c>
      <c r="U96" s="28" t="s">
        <v>301</v>
      </c>
      <c r="V96" s="28" t="s">
        <v>158</v>
      </c>
      <c r="W96" s="28" t="s">
        <v>39</v>
      </c>
      <c r="X96" s="28" t="s">
        <v>40</v>
      </c>
      <c r="Y96" s="29" t="s">
        <v>302</v>
      </c>
      <c r="Z96" s="39" t="s">
        <v>42</v>
      </c>
    </row>
    <row r="97" spans="1:26" ht="57" customHeight="1" x14ac:dyDescent="0.25">
      <c r="A97" s="17" t="s">
        <v>321</v>
      </c>
      <c r="B97" s="18" t="s">
        <v>329</v>
      </c>
      <c r="C97" s="19" t="s">
        <v>332</v>
      </c>
      <c r="D97" s="33"/>
      <c r="E97" s="20">
        <v>43955</v>
      </c>
      <c r="F97" s="69" t="s">
        <v>30</v>
      </c>
      <c r="G97" s="70">
        <v>6</v>
      </c>
      <c r="H97" s="40" t="s">
        <v>31</v>
      </c>
      <c r="I97" s="19" t="s">
        <v>32</v>
      </c>
      <c r="J97" s="28" t="s">
        <v>331</v>
      </c>
      <c r="K97" s="71" t="s">
        <v>34</v>
      </c>
      <c r="L97" s="25">
        <f>+M97+P97+Q97</f>
        <v>1370436325</v>
      </c>
      <c r="M97" s="25">
        <f>+O97+N97</f>
        <v>329862292</v>
      </c>
      <c r="N97" s="25">
        <f>330517864+2101040-703000-1368040-685572</f>
        <v>329862292</v>
      </c>
      <c r="O97" s="25" t="s">
        <v>100</v>
      </c>
      <c r="P97" s="25">
        <v>683319735</v>
      </c>
      <c r="Q97" s="25">
        <v>357254298</v>
      </c>
      <c r="R97" s="28" t="s">
        <v>166</v>
      </c>
      <c r="S97" s="28" t="s">
        <v>162</v>
      </c>
      <c r="T97" s="28" t="s">
        <v>66</v>
      </c>
      <c r="U97" s="28" t="s">
        <v>301</v>
      </c>
      <c r="V97" s="28" t="s">
        <v>158</v>
      </c>
      <c r="W97" s="28" t="s">
        <v>39</v>
      </c>
      <c r="X97" s="28" t="s">
        <v>40</v>
      </c>
      <c r="Y97" s="29" t="s">
        <v>302</v>
      </c>
      <c r="Z97" s="39" t="s">
        <v>42</v>
      </c>
    </row>
    <row r="98" spans="1:26" ht="42.75" customHeight="1" x14ac:dyDescent="0.25">
      <c r="A98" s="17" t="s">
        <v>321</v>
      </c>
      <c r="B98" s="18">
        <v>78102201</v>
      </c>
      <c r="C98" s="19" t="s">
        <v>333</v>
      </c>
      <c r="D98" s="33">
        <v>44012</v>
      </c>
      <c r="E98" s="20"/>
      <c r="F98" s="21"/>
      <c r="G98" s="35" t="s">
        <v>76</v>
      </c>
      <c r="H98" s="22" t="s">
        <v>31</v>
      </c>
      <c r="I98" s="23" t="s">
        <v>46</v>
      </c>
      <c r="J98" s="23" t="s">
        <v>334</v>
      </c>
      <c r="K98" s="41" t="s">
        <v>34</v>
      </c>
      <c r="L98" s="25">
        <f t="shared" si="3"/>
        <v>224910000</v>
      </c>
      <c r="M98" s="25">
        <f t="shared" ref="M98:M155" si="4">+O98+N98</f>
        <v>224910000</v>
      </c>
      <c r="N98" s="25">
        <v>224910000</v>
      </c>
      <c r="O98" s="25" t="s">
        <v>100</v>
      </c>
      <c r="P98" s="25"/>
      <c r="Q98" s="25"/>
      <c r="R98" s="28" t="s">
        <v>35</v>
      </c>
      <c r="S98" s="28" t="s">
        <v>36</v>
      </c>
      <c r="T98" s="28" t="s">
        <v>48</v>
      </c>
      <c r="U98" s="28" t="s">
        <v>301</v>
      </c>
      <c r="V98" s="28" t="s">
        <v>158</v>
      </c>
      <c r="W98" s="28" t="s">
        <v>39</v>
      </c>
      <c r="X98" s="28" t="s">
        <v>40</v>
      </c>
      <c r="Y98" s="29" t="s">
        <v>302</v>
      </c>
      <c r="Z98" s="39" t="s">
        <v>42</v>
      </c>
    </row>
    <row r="99" spans="1:26" ht="57" customHeight="1" x14ac:dyDescent="0.25">
      <c r="A99" s="17" t="s">
        <v>321</v>
      </c>
      <c r="B99" s="18">
        <v>78102201</v>
      </c>
      <c r="C99" s="19" t="s">
        <v>335</v>
      </c>
      <c r="D99" s="19"/>
      <c r="E99" s="20">
        <v>43955</v>
      </c>
      <c r="F99" s="69" t="s">
        <v>30</v>
      </c>
      <c r="G99" s="70">
        <v>6</v>
      </c>
      <c r="H99" s="40" t="s">
        <v>31</v>
      </c>
      <c r="I99" s="19" t="s">
        <v>32</v>
      </c>
      <c r="J99" s="28" t="s">
        <v>334</v>
      </c>
      <c r="K99" s="71" t="s">
        <v>34</v>
      </c>
      <c r="L99" s="25">
        <f t="shared" si="3"/>
        <v>714217875</v>
      </c>
      <c r="M99" s="25">
        <f t="shared" si="4"/>
        <v>171957988</v>
      </c>
      <c r="N99" s="25">
        <f>173945940-1987952</f>
        <v>171957988</v>
      </c>
      <c r="O99" s="25" t="s">
        <v>100</v>
      </c>
      <c r="P99" s="25">
        <v>356984784</v>
      </c>
      <c r="Q99" s="25">
        <v>185275103</v>
      </c>
      <c r="R99" s="28" t="s">
        <v>166</v>
      </c>
      <c r="S99" s="28" t="s">
        <v>162</v>
      </c>
      <c r="T99" s="28" t="s">
        <v>66</v>
      </c>
      <c r="U99" s="28" t="s">
        <v>301</v>
      </c>
      <c r="V99" s="28" t="s">
        <v>158</v>
      </c>
      <c r="W99" s="28" t="s">
        <v>39</v>
      </c>
      <c r="X99" s="28" t="s">
        <v>40</v>
      </c>
      <c r="Y99" s="29" t="s">
        <v>302</v>
      </c>
      <c r="Z99" s="39" t="s">
        <v>42</v>
      </c>
    </row>
    <row r="100" spans="1:26" ht="42.75" customHeight="1" x14ac:dyDescent="0.25">
      <c r="A100" s="17" t="s">
        <v>336</v>
      </c>
      <c r="B100" s="18">
        <v>78181701</v>
      </c>
      <c r="C100" s="19" t="s">
        <v>337</v>
      </c>
      <c r="D100" s="33">
        <v>44165</v>
      </c>
      <c r="E100" s="20"/>
      <c r="F100" s="21"/>
      <c r="G100" s="35">
        <v>11</v>
      </c>
      <c r="H100" s="22" t="s">
        <v>31</v>
      </c>
      <c r="I100" s="23" t="s">
        <v>46</v>
      </c>
      <c r="J100" s="23" t="s">
        <v>338</v>
      </c>
      <c r="K100" s="41" t="s">
        <v>339</v>
      </c>
      <c r="L100" s="25">
        <f t="shared" si="3"/>
        <v>71005142</v>
      </c>
      <c r="M100" s="25">
        <f t="shared" si="4"/>
        <v>71005142</v>
      </c>
      <c r="N100" s="25">
        <f>71005142</f>
        <v>71005142</v>
      </c>
      <c r="O100" s="25">
        <v>0</v>
      </c>
      <c r="P100" s="25"/>
      <c r="Q100" s="25"/>
      <c r="R100" s="28" t="s">
        <v>35</v>
      </c>
      <c r="S100" s="28" t="s">
        <v>36</v>
      </c>
      <c r="T100" s="28" t="s">
        <v>48</v>
      </c>
      <c r="U100" s="28" t="s">
        <v>340</v>
      </c>
      <c r="V100" s="28" t="s">
        <v>158</v>
      </c>
      <c r="W100" s="28" t="s">
        <v>39</v>
      </c>
      <c r="X100" s="28" t="s">
        <v>40</v>
      </c>
      <c r="Y100" s="29" t="s">
        <v>159</v>
      </c>
      <c r="Z100" s="39" t="s">
        <v>42</v>
      </c>
    </row>
    <row r="101" spans="1:26" ht="42.75" customHeight="1" x14ac:dyDescent="0.25">
      <c r="A101" s="17" t="s">
        <v>336</v>
      </c>
      <c r="B101" s="18">
        <v>78181702</v>
      </c>
      <c r="C101" s="19" t="s">
        <v>341</v>
      </c>
      <c r="D101" s="33"/>
      <c r="E101" s="20">
        <v>44078</v>
      </c>
      <c r="F101" s="21" t="s">
        <v>198</v>
      </c>
      <c r="G101" s="35">
        <v>19</v>
      </c>
      <c r="H101" s="22" t="s">
        <v>31</v>
      </c>
      <c r="I101" s="23" t="s">
        <v>161</v>
      </c>
      <c r="J101" s="23" t="s">
        <v>338</v>
      </c>
      <c r="K101" s="41" t="s">
        <v>342</v>
      </c>
      <c r="L101" s="25">
        <f>+M101+P101+Q101</f>
        <v>128867563</v>
      </c>
      <c r="M101" s="25">
        <f t="shared" si="4"/>
        <v>7491733</v>
      </c>
      <c r="N101" s="25">
        <v>7491733</v>
      </c>
      <c r="O101" s="25"/>
      <c r="P101" s="25">
        <v>79590708</v>
      </c>
      <c r="Q101" s="25">
        <v>41785122</v>
      </c>
      <c r="R101" s="28" t="s">
        <v>106</v>
      </c>
      <c r="S101" s="28" t="s">
        <v>162</v>
      </c>
      <c r="T101" s="28"/>
      <c r="U101" s="28" t="s">
        <v>340</v>
      </c>
      <c r="V101" s="28" t="s">
        <v>158</v>
      </c>
      <c r="W101" s="28" t="s">
        <v>39</v>
      </c>
      <c r="X101" s="28" t="s">
        <v>40</v>
      </c>
      <c r="Y101" s="29" t="s">
        <v>171</v>
      </c>
      <c r="Z101" s="39" t="s">
        <v>42</v>
      </c>
    </row>
    <row r="102" spans="1:26" ht="42" customHeight="1" x14ac:dyDescent="0.25">
      <c r="A102" s="17" t="s">
        <v>336</v>
      </c>
      <c r="B102" s="18" t="s">
        <v>343</v>
      </c>
      <c r="C102" s="19" t="s">
        <v>344</v>
      </c>
      <c r="D102" s="33">
        <v>44165</v>
      </c>
      <c r="E102" s="20">
        <v>44078</v>
      </c>
      <c r="F102" s="21" t="s">
        <v>198</v>
      </c>
      <c r="G102" s="35">
        <v>11</v>
      </c>
      <c r="H102" s="22" t="s">
        <v>31</v>
      </c>
      <c r="I102" s="23" t="s">
        <v>46</v>
      </c>
      <c r="J102" s="23" t="s">
        <v>345</v>
      </c>
      <c r="K102" s="41" t="s">
        <v>346</v>
      </c>
      <c r="L102" s="25">
        <f t="shared" si="3"/>
        <v>182770743</v>
      </c>
      <c r="M102" s="25">
        <f t="shared" si="4"/>
        <v>182770743</v>
      </c>
      <c r="N102" s="25">
        <f>164770743+18000000</f>
        <v>182770743</v>
      </c>
      <c r="O102" s="25">
        <v>0</v>
      </c>
      <c r="P102" s="25"/>
      <c r="Q102" s="25"/>
      <c r="R102" s="28" t="s">
        <v>35</v>
      </c>
      <c r="S102" s="28" t="s">
        <v>36</v>
      </c>
      <c r="T102" s="28" t="s">
        <v>48</v>
      </c>
      <c r="U102" s="28" t="s">
        <v>340</v>
      </c>
      <c r="V102" s="28" t="s">
        <v>158</v>
      </c>
      <c r="W102" s="28" t="s">
        <v>39</v>
      </c>
      <c r="X102" s="28" t="s">
        <v>40</v>
      </c>
      <c r="Y102" s="29" t="s">
        <v>159</v>
      </c>
      <c r="Z102" s="39" t="s">
        <v>42</v>
      </c>
    </row>
    <row r="103" spans="1:26" ht="42" customHeight="1" x14ac:dyDescent="0.25">
      <c r="A103" s="17" t="s">
        <v>336</v>
      </c>
      <c r="B103" s="18" t="s">
        <v>347</v>
      </c>
      <c r="C103" s="19" t="s">
        <v>348</v>
      </c>
      <c r="D103" s="33"/>
      <c r="E103" s="20">
        <v>44078</v>
      </c>
      <c r="F103" s="21" t="s">
        <v>198</v>
      </c>
      <c r="G103" s="35">
        <v>19</v>
      </c>
      <c r="H103" s="22" t="s">
        <v>31</v>
      </c>
      <c r="I103" s="23" t="s">
        <v>132</v>
      </c>
      <c r="J103" s="23" t="s">
        <v>345</v>
      </c>
      <c r="K103" s="41" t="s">
        <v>349</v>
      </c>
      <c r="L103" s="25">
        <f>+M103+P103+Q103</f>
        <v>604860229</v>
      </c>
      <c r="M103" s="25">
        <f t="shared" si="4"/>
        <v>28373882</v>
      </c>
      <c r="N103" s="25">
        <f>18252544+10121338</f>
        <v>28373882</v>
      </c>
      <c r="O103" s="25"/>
      <c r="P103" s="25">
        <f>340000000+17510912</f>
        <v>357510912</v>
      </c>
      <c r="Q103" s="25">
        <f>212000000+6975435</f>
        <v>218975435</v>
      </c>
      <c r="R103" s="28" t="s">
        <v>252</v>
      </c>
      <c r="S103" s="28" t="s">
        <v>162</v>
      </c>
      <c r="T103" s="28"/>
      <c r="U103" s="28" t="s">
        <v>340</v>
      </c>
      <c r="V103" s="28" t="s">
        <v>158</v>
      </c>
      <c r="W103" s="28" t="s">
        <v>39</v>
      </c>
      <c r="X103" s="28" t="s">
        <v>40</v>
      </c>
      <c r="Y103" s="29" t="s">
        <v>171</v>
      </c>
      <c r="Z103" s="39" t="s">
        <v>42</v>
      </c>
    </row>
    <row r="104" spans="1:26" ht="42" customHeight="1" x14ac:dyDescent="0.25">
      <c r="A104" s="17" t="s">
        <v>336</v>
      </c>
      <c r="B104" s="18" t="s">
        <v>350</v>
      </c>
      <c r="C104" s="19" t="s">
        <v>351</v>
      </c>
      <c r="D104" s="33">
        <v>44165</v>
      </c>
      <c r="E104" s="20"/>
      <c r="F104" s="21"/>
      <c r="G104" s="35">
        <v>11</v>
      </c>
      <c r="H104" s="22" t="s">
        <v>31</v>
      </c>
      <c r="I104" s="23" t="s">
        <v>46</v>
      </c>
      <c r="J104" s="23" t="s">
        <v>352</v>
      </c>
      <c r="K104" s="41" t="s">
        <v>353</v>
      </c>
      <c r="L104" s="25">
        <f t="shared" si="3"/>
        <v>137765002.3545455</v>
      </c>
      <c r="M104" s="25">
        <f t="shared" si="4"/>
        <v>137765002.3545455</v>
      </c>
      <c r="N104" s="25">
        <f>150915298-13150295.6454545</f>
        <v>137765002.3545455</v>
      </c>
      <c r="O104" s="25">
        <v>0</v>
      </c>
      <c r="P104" s="25"/>
      <c r="Q104" s="25"/>
      <c r="R104" s="28" t="s">
        <v>35</v>
      </c>
      <c r="S104" s="28" t="s">
        <v>36</v>
      </c>
      <c r="T104" s="28" t="s">
        <v>48</v>
      </c>
      <c r="U104" s="28" t="s">
        <v>340</v>
      </c>
      <c r="V104" s="28" t="s">
        <v>158</v>
      </c>
      <c r="W104" s="28" t="s">
        <v>39</v>
      </c>
      <c r="X104" s="28" t="s">
        <v>40</v>
      </c>
      <c r="Y104" s="29" t="s">
        <v>159</v>
      </c>
      <c r="Z104" s="39" t="s">
        <v>42</v>
      </c>
    </row>
    <row r="105" spans="1:26" ht="42" customHeight="1" x14ac:dyDescent="0.25">
      <c r="A105" s="17" t="s">
        <v>336</v>
      </c>
      <c r="B105" s="18" t="s">
        <v>354</v>
      </c>
      <c r="C105" s="19" t="s">
        <v>355</v>
      </c>
      <c r="D105" s="33"/>
      <c r="E105" s="20">
        <v>44070</v>
      </c>
      <c r="F105" s="21" t="s">
        <v>148</v>
      </c>
      <c r="G105" s="35">
        <v>20</v>
      </c>
      <c r="H105" s="22" t="s">
        <v>31</v>
      </c>
      <c r="I105" s="23" t="s">
        <v>64</v>
      </c>
      <c r="J105" s="23" t="s">
        <v>356</v>
      </c>
      <c r="K105" s="41" t="s">
        <v>357</v>
      </c>
      <c r="L105" s="25">
        <f>+M105+P105+Q105</f>
        <v>246403668.2954545</v>
      </c>
      <c r="M105" s="25">
        <f t="shared" si="4"/>
        <v>13150295.6454545</v>
      </c>
      <c r="N105" s="25">
        <v>13150295.6454545</v>
      </c>
      <c r="O105" s="25"/>
      <c r="P105" s="25">
        <f>151997268-7344015</f>
        <v>144653253</v>
      </c>
      <c r="Q105" s="25">
        <f>93098326.65-4498207</f>
        <v>88600119.650000006</v>
      </c>
      <c r="R105" s="28" t="s">
        <v>252</v>
      </c>
      <c r="S105" s="28" t="s">
        <v>162</v>
      </c>
      <c r="T105" s="28" t="s">
        <v>48</v>
      </c>
      <c r="U105" s="28" t="s">
        <v>340</v>
      </c>
      <c r="V105" s="28" t="s">
        <v>158</v>
      </c>
      <c r="W105" s="28" t="s">
        <v>39</v>
      </c>
      <c r="X105" s="28" t="s">
        <v>40</v>
      </c>
      <c r="Y105" s="29" t="s">
        <v>171</v>
      </c>
      <c r="Z105" s="39" t="s">
        <v>42</v>
      </c>
    </row>
    <row r="106" spans="1:26" ht="57" customHeight="1" x14ac:dyDescent="0.25">
      <c r="A106" s="17" t="s">
        <v>336</v>
      </c>
      <c r="B106" s="18" t="s">
        <v>358</v>
      </c>
      <c r="C106" s="19" t="s">
        <v>359</v>
      </c>
      <c r="D106" s="33">
        <v>44135</v>
      </c>
      <c r="E106" s="20">
        <v>44022</v>
      </c>
      <c r="F106" s="21" t="s">
        <v>177</v>
      </c>
      <c r="G106" s="35">
        <v>10</v>
      </c>
      <c r="H106" s="22" t="s">
        <v>31</v>
      </c>
      <c r="I106" s="23" t="s">
        <v>46</v>
      </c>
      <c r="J106" s="23" t="s">
        <v>360</v>
      </c>
      <c r="K106" s="41" t="s">
        <v>361</v>
      </c>
      <c r="L106" s="25">
        <f t="shared" si="3"/>
        <v>669030518</v>
      </c>
      <c r="M106" s="25">
        <f t="shared" si="4"/>
        <v>669030518</v>
      </c>
      <c r="N106" s="25">
        <f>213543660+362053412</f>
        <v>575597072</v>
      </c>
      <c r="O106" s="25">
        <v>93433446</v>
      </c>
      <c r="P106" s="25"/>
      <c r="Q106" s="25"/>
      <c r="R106" s="28" t="s">
        <v>35</v>
      </c>
      <c r="S106" s="28" t="s">
        <v>36</v>
      </c>
      <c r="T106" s="28" t="s">
        <v>48</v>
      </c>
      <c r="U106" s="28" t="s">
        <v>340</v>
      </c>
      <c r="V106" s="28" t="s">
        <v>158</v>
      </c>
      <c r="W106" s="28" t="s">
        <v>39</v>
      </c>
      <c r="X106" s="28" t="s">
        <v>40</v>
      </c>
      <c r="Y106" s="29" t="s">
        <v>159</v>
      </c>
      <c r="Z106" s="39" t="s">
        <v>42</v>
      </c>
    </row>
    <row r="107" spans="1:26" ht="42.75" customHeight="1" x14ac:dyDescent="0.25">
      <c r="A107" s="17" t="s">
        <v>336</v>
      </c>
      <c r="B107" s="71" t="s">
        <v>358</v>
      </c>
      <c r="C107" s="72" t="s">
        <v>362</v>
      </c>
      <c r="D107" s="73"/>
      <c r="E107" s="20">
        <v>44022</v>
      </c>
      <c r="F107" s="34" t="s">
        <v>177</v>
      </c>
      <c r="G107" s="29">
        <v>2</v>
      </c>
      <c r="H107" s="71" t="s">
        <v>31</v>
      </c>
      <c r="I107" s="74" t="s">
        <v>115</v>
      </c>
      <c r="J107" s="71" t="s">
        <v>360</v>
      </c>
      <c r="K107" s="75" t="s">
        <v>361</v>
      </c>
      <c r="L107" s="25">
        <f t="shared" si="3"/>
        <v>1890177030</v>
      </c>
      <c r="M107" s="25">
        <f t="shared" si="4"/>
        <v>89047431</v>
      </c>
      <c r="N107" s="25">
        <f>117301777-50233599</f>
        <v>67068178</v>
      </c>
      <c r="O107" s="25">
        <v>21979253</v>
      </c>
      <c r="P107" s="25">
        <v>1116979596</v>
      </c>
      <c r="Q107" s="25">
        <v>684150003</v>
      </c>
      <c r="R107" s="28" t="s">
        <v>252</v>
      </c>
      <c r="S107" s="28" t="s">
        <v>162</v>
      </c>
      <c r="T107" s="28"/>
      <c r="U107" s="28" t="s">
        <v>340</v>
      </c>
      <c r="V107" s="28" t="s">
        <v>158</v>
      </c>
      <c r="W107" s="28" t="s">
        <v>39</v>
      </c>
      <c r="X107" s="28" t="s">
        <v>40</v>
      </c>
      <c r="Y107" s="29" t="s">
        <v>159</v>
      </c>
      <c r="Z107" s="76" t="s">
        <v>42</v>
      </c>
    </row>
    <row r="108" spans="1:26" ht="71.25" customHeight="1" x14ac:dyDescent="0.25">
      <c r="A108" s="17" t="s">
        <v>336</v>
      </c>
      <c r="B108" s="18" t="s">
        <v>358</v>
      </c>
      <c r="C108" s="19" t="s">
        <v>363</v>
      </c>
      <c r="D108" s="33">
        <v>44150</v>
      </c>
      <c r="E108" s="20">
        <v>44071</v>
      </c>
      <c r="F108" s="21" t="s">
        <v>198</v>
      </c>
      <c r="G108" s="35">
        <v>10.5</v>
      </c>
      <c r="H108" s="22" t="s">
        <v>31</v>
      </c>
      <c r="I108" s="23" t="s">
        <v>46</v>
      </c>
      <c r="J108" s="23" t="s">
        <v>360</v>
      </c>
      <c r="K108" s="41" t="s">
        <v>34</v>
      </c>
      <c r="L108" s="25">
        <f t="shared" si="3"/>
        <v>1209406792.7537501</v>
      </c>
      <c r="M108" s="25">
        <f t="shared" si="4"/>
        <v>1209406792.7537501</v>
      </c>
      <c r="N108" s="25">
        <v>1141899414.7537501</v>
      </c>
      <c r="O108" s="25">
        <v>67507378</v>
      </c>
      <c r="P108" s="25"/>
      <c r="Q108" s="25"/>
      <c r="R108" s="28" t="s">
        <v>35</v>
      </c>
      <c r="S108" s="28" t="s">
        <v>36</v>
      </c>
      <c r="T108" s="28" t="s">
        <v>48</v>
      </c>
      <c r="U108" s="28" t="s">
        <v>340</v>
      </c>
      <c r="V108" s="28" t="s">
        <v>158</v>
      </c>
      <c r="W108" s="28" t="s">
        <v>39</v>
      </c>
      <c r="X108" s="28" t="s">
        <v>40</v>
      </c>
      <c r="Y108" s="29" t="s">
        <v>159</v>
      </c>
      <c r="Z108" s="39" t="s">
        <v>42</v>
      </c>
    </row>
    <row r="109" spans="1:26" ht="111" customHeight="1" x14ac:dyDescent="0.25">
      <c r="A109" s="17" t="s">
        <v>336</v>
      </c>
      <c r="B109" s="71" t="s">
        <v>358</v>
      </c>
      <c r="C109" s="72" t="s">
        <v>364</v>
      </c>
      <c r="D109" s="73"/>
      <c r="E109" s="20">
        <v>44104</v>
      </c>
      <c r="F109" s="34" t="s">
        <v>177</v>
      </c>
      <c r="G109" s="29">
        <v>45</v>
      </c>
      <c r="H109" s="22" t="s">
        <v>168</v>
      </c>
      <c r="I109" s="74" t="s">
        <v>115</v>
      </c>
      <c r="J109" s="71" t="s">
        <v>360</v>
      </c>
      <c r="K109" s="77" t="s">
        <v>34</v>
      </c>
      <c r="L109" s="25">
        <f t="shared" si="3"/>
        <v>3205734259.5358701</v>
      </c>
      <c r="M109" s="25">
        <f t="shared" si="4"/>
        <v>212184692.53586999</v>
      </c>
      <c r="N109" s="25">
        <f>200389918.53587</f>
        <v>200389918.53586999</v>
      </c>
      <c r="O109" s="25">
        <v>11794774</v>
      </c>
      <c r="P109" s="25">
        <v>1835730072</v>
      </c>
      <c r="Q109" s="25">
        <v>1157819495</v>
      </c>
      <c r="R109" s="28" t="s">
        <v>252</v>
      </c>
      <c r="S109" s="28" t="s">
        <v>162</v>
      </c>
      <c r="T109" s="28"/>
      <c r="U109" s="28" t="s">
        <v>340</v>
      </c>
      <c r="V109" s="28" t="s">
        <v>158</v>
      </c>
      <c r="W109" s="28" t="s">
        <v>39</v>
      </c>
      <c r="X109" s="28" t="s">
        <v>40</v>
      </c>
      <c r="Y109" s="29" t="s">
        <v>159</v>
      </c>
      <c r="Z109" s="76" t="s">
        <v>42</v>
      </c>
    </row>
    <row r="110" spans="1:26" ht="111" customHeight="1" x14ac:dyDescent="0.25">
      <c r="A110" s="17" t="s">
        <v>336</v>
      </c>
      <c r="B110" s="71" t="s">
        <v>365</v>
      </c>
      <c r="C110" s="72" t="s">
        <v>366</v>
      </c>
      <c r="D110" s="73"/>
      <c r="E110" s="20">
        <v>43868</v>
      </c>
      <c r="F110" s="34" t="s">
        <v>367</v>
      </c>
      <c r="G110" s="29">
        <v>9</v>
      </c>
      <c r="H110" s="22" t="s">
        <v>31</v>
      </c>
      <c r="I110" s="74" t="s">
        <v>161</v>
      </c>
      <c r="J110" s="71" t="s">
        <v>360</v>
      </c>
      <c r="K110" s="77" t="s">
        <v>34</v>
      </c>
      <c r="L110" s="25">
        <f>+M110+P110+Q110</f>
        <v>239757064</v>
      </c>
      <c r="M110" s="25">
        <f t="shared" si="4"/>
        <v>239757064</v>
      </c>
      <c r="N110" s="25">
        <f>58627461+181129603</f>
        <v>239757064</v>
      </c>
      <c r="O110" s="25"/>
      <c r="P110" s="25"/>
      <c r="Q110" s="25"/>
      <c r="R110" s="28" t="s">
        <v>35</v>
      </c>
      <c r="S110" s="28" t="s">
        <v>36</v>
      </c>
      <c r="T110" s="28" t="s">
        <v>90</v>
      </c>
      <c r="U110" s="28" t="s">
        <v>340</v>
      </c>
      <c r="V110" s="28" t="s">
        <v>158</v>
      </c>
      <c r="W110" s="28" t="s">
        <v>39</v>
      </c>
      <c r="X110" s="28" t="s">
        <v>40</v>
      </c>
      <c r="Y110" s="29" t="s">
        <v>171</v>
      </c>
      <c r="Z110" s="76" t="s">
        <v>42</v>
      </c>
    </row>
    <row r="111" spans="1:26" ht="42.75" customHeight="1" x14ac:dyDescent="0.25">
      <c r="A111" s="17" t="s">
        <v>336</v>
      </c>
      <c r="B111" s="71">
        <v>80131502</v>
      </c>
      <c r="C111" s="72" t="s">
        <v>368</v>
      </c>
      <c r="D111" s="72"/>
      <c r="E111" s="20">
        <v>44071</v>
      </c>
      <c r="F111" s="78" t="s">
        <v>198</v>
      </c>
      <c r="G111" s="77">
        <v>12</v>
      </c>
      <c r="H111" s="40" t="s">
        <v>31</v>
      </c>
      <c r="I111" s="72" t="s">
        <v>32</v>
      </c>
      <c r="J111" s="74" t="s">
        <v>369</v>
      </c>
      <c r="K111" s="41" t="s">
        <v>370</v>
      </c>
      <c r="L111" s="25">
        <f t="shared" si="3"/>
        <v>6020537619</v>
      </c>
      <c r="M111" s="25">
        <f t="shared" si="4"/>
        <v>2238253740</v>
      </c>
      <c r="N111" s="25">
        <v>2238253740</v>
      </c>
      <c r="O111" s="25">
        <v>0</v>
      </c>
      <c r="P111" s="25">
        <v>2350166430</v>
      </c>
      <c r="Q111" s="25">
        <v>1432117449</v>
      </c>
      <c r="R111" s="28" t="s">
        <v>106</v>
      </c>
      <c r="S111" s="28" t="s">
        <v>162</v>
      </c>
      <c r="T111" s="28"/>
      <c r="U111" s="28" t="s">
        <v>340</v>
      </c>
      <c r="V111" s="28" t="s">
        <v>158</v>
      </c>
      <c r="W111" s="28" t="s">
        <v>39</v>
      </c>
      <c r="X111" s="28" t="s">
        <v>40</v>
      </c>
      <c r="Y111" s="29" t="s">
        <v>159</v>
      </c>
      <c r="Z111" s="76" t="s">
        <v>42</v>
      </c>
    </row>
    <row r="112" spans="1:26" ht="57" customHeight="1" x14ac:dyDescent="0.25">
      <c r="A112" s="17" t="s">
        <v>336</v>
      </c>
      <c r="B112" s="18">
        <v>80131502</v>
      </c>
      <c r="C112" s="19" t="s">
        <v>371</v>
      </c>
      <c r="D112" s="33">
        <v>44165</v>
      </c>
      <c r="E112" s="20">
        <v>44071</v>
      </c>
      <c r="F112" s="21" t="s">
        <v>198</v>
      </c>
      <c r="G112" s="35">
        <v>11.5</v>
      </c>
      <c r="H112" s="22" t="s">
        <v>31</v>
      </c>
      <c r="I112" s="23" t="s">
        <v>46</v>
      </c>
      <c r="J112" s="23" t="s">
        <v>369</v>
      </c>
      <c r="K112" s="41" t="s">
        <v>370</v>
      </c>
      <c r="L112" s="25">
        <f t="shared" si="3"/>
        <v>294434604</v>
      </c>
      <c r="M112" s="25">
        <f t="shared" si="4"/>
        <v>294434604</v>
      </c>
      <c r="N112" s="25">
        <v>294434604</v>
      </c>
      <c r="O112" s="25">
        <v>0</v>
      </c>
      <c r="P112" s="25"/>
      <c r="Q112" s="25"/>
      <c r="R112" s="28" t="s">
        <v>35</v>
      </c>
      <c r="S112" s="28" t="s">
        <v>36</v>
      </c>
      <c r="T112" s="28" t="s">
        <v>48</v>
      </c>
      <c r="U112" s="28" t="s">
        <v>340</v>
      </c>
      <c r="V112" s="28" t="s">
        <v>158</v>
      </c>
      <c r="W112" s="28" t="s">
        <v>39</v>
      </c>
      <c r="X112" s="28" t="s">
        <v>40</v>
      </c>
      <c r="Y112" s="29" t="s">
        <v>159</v>
      </c>
      <c r="Z112" s="39" t="s">
        <v>42</v>
      </c>
    </row>
    <row r="113" spans="1:26" ht="57" customHeight="1" x14ac:dyDescent="0.25">
      <c r="A113" s="17" t="s">
        <v>336</v>
      </c>
      <c r="B113" s="71">
        <v>80131502</v>
      </c>
      <c r="C113" s="72" t="s">
        <v>372</v>
      </c>
      <c r="D113" s="72"/>
      <c r="E113" s="20">
        <v>44080</v>
      </c>
      <c r="F113" s="78" t="s">
        <v>373</v>
      </c>
      <c r="G113" s="29">
        <v>20</v>
      </c>
      <c r="H113" s="71" t="s">
        <v>31</v>
      </c>
      <c r="I113" s="74" t="s">
        <v>32</v>
      </c>
      <c r="J113" s="74" t="s">
        <v>369</v>
      </c>
      <c r="K113" s="41" t="s">
        <v>370</v>
      </c>
      <c r="L113" s="25">
        <f t="shared" si="3"/>
        <v>552219586.22220993</v>
      </c>
      <c r="M113" s="25">
        <f t="shared" si="4"/>
        <v>26911286.222209997</v>
      </c>
      <c r="N113" s="25">
        <f>13687875.22221+13223411</f>
        <v>26911286.222209997</v>
      </c>
      <c r="O113" s="25"/>
      <c r="P113" s="25">
        <f>313381927+14128423</f>
        <v>327510350</v>
      </c>
      <c r="Q113" s="25">
        <v>197797950</v>
      </c>
      <c r="R113" s="28" t="s">
        <v>252</v>
      </c>
      <c r="S113" s="28" t="s">
        <v>162</v>
      </c>
      <c r="T113" s="28"/>
      <c r="U113" s="28" t="s">
        <v>340</v>
      </c>
      <c r="V113" s="28" t="s">
        <v>158</v>
      </c>
      <c r="W113" s="28" t="s">
        <v>39</v>
      </c>
      <c r="X113" s="28" t="s">
        <v>40</v>
      </c>
      <c r="Y113" s="29" t="s">
        <v>159</v>
      </c>
      <c r="Z113" s="76" t="s">
        <v>42</v>
      </c>
    </row>
    <row r="114" spans="1:26" ht="71.25" customHeight="1" x14ac:dyDescent="0.25">
      <c r="A114" s="17" t="s">
        <v>336</v>
      </c>
      <c r="B114" s="18">
        <v>80131502</v>
      </c>
      <c r="C114" s="19" t="s">
        <v>374</v>
      </c>
      <c r="D114" s="33">
        <v>44180</v>
      </c>
      <c r="E114" s="20">
        <v>44071</v>
      </c>
      <c r="F114" s="21" t="s">
        <v>198</v>
      </c>
      <c r="G114" s="35">
        <v>11.5</v>
      </c>
      <c r="H114" s="22" t="s">
        <v>31</v>
      </c>
      <c r="I114" s="23" t="s">
        <v>46</v>
      </c>
      <c r="J114" s="23" t="s">
        <v>375</v>
      </c>
      <c r="K114" s="41" t="s">
        <v>34</v>
      </c>
      <c r="L114" s="25">
        <f t="shared" si="3"/>
        <v>72622183</v>
      </c>
      <c r="M114" s="25">
        <f t="shared" si="4"/>
        <v>72622183</v>
      </c>
      <c r="N114" s="25">
        <v>0</v>
      </c>
      <c r="O114" s="25">
        <v>72622183</v>
      </c>
      <c r="P114" s="25"/>
      <c r="Q114" s="25"/>
      <c r="R114" s="28" t="s">
        <v>35</v>
      </c>
      <c r="S114" s="28" t="s">
        <v>36</v>
      </c>
      <c r="T114" s="28" t="s">
        <v>48</v>
      </c>
      <c r="U114" s="28" t="s">
        <v>340</v>
      </c>
      <c r="V114" s="28" t="s">
        <v>158</v>
      </c>
      <c r="W114" s="28" t="s">
        <v>39</v>
      </c>
      <c r="X114" s="28" t="s">
        <v>40</v>
      </c>
      <c r="Y114" s="29" t="s">
        <v>159</v>
      </c>
      <c r="Z114" s="39" t="s">
        <v>42</v>
      </c>
    </row>
    <row r="115" spans="1:26" ht="84" x14ac:dyDescent="0.25">
      <c r="A115" s="17" t="s">
        <v>336</v>
      </c>
      <c r="B115" s="71">
        <v>80131502</v>
      </c>
      <c r="C115" s="72" t="s">
        <v>376</v>
      </c>
      <c r="D115" s="72"/>
      <c r="E115" s="20">
        <v>44071</v>
      </c>
      <c r="F115" s="78" t="s">
        <v>198</v>
      </c>
      <c r="G115" s="79">
        <v>11.5</v>
      </c>
      <c r="H115" s="71" t="s">
        <v>31</v>
      </c>
      <c r="I115" s="72" t="s">
        <v>32</v>
      </c>
      <c r="J115" s="74" t="s">
        <v>377</v>
      </c>
      <c r="K115" s="41" t="s">
        <v>34</v>
      </c>
      <c r="L115" s="25">
        <f t="shared" si="3"/>
        <v>212369629</v>
      </c>
      <c r="M115" s="25">
        <f t="shared" si="4"/>
        <v>212369629</v>
      </c>
      <c r="N115" s="25">
        <v>0</v>
      </c>
      <c r="O115" s="25">
        <v>212369629</v>
      </c>
      <c r="P115" s="25"/>
      <c r="Q115" s="25"/>
      <c r="R115" s="28" t="s">
        <v>35</v>
      </c>
      <c r="S115" s="28" t="s">
        <v>36</v>
      </c>
      <c r="T115" s="28"/>
      <c r="U115" s="28" t="s">
        <v>340</v>
      </c>
      <c r="V115" s="28" t="s">
        <v>158</v>
      </c>
      <c r="W115" s="28" t="s">
        <v>39</v>
      </c>
      <c r="X115" s="28" t="s">
        <v>40</v>
      </c>
      <c r="Y115" s="29" t="s">
        <v>159</v>
      </c>
      <c r="Z115" s="76" t="s">
        <v>42</v>
      </c>
    </row>
    <row r="116" spans="1:26" ht="84" x14ac:dyDescent="0.25">
      <c r="A116" s="17" t="s">
        <v>336</v>
      </c>
      <c r="B116" s="71">
        <v>80131502</v>
      </c>
      <c r="C116" s="80" t="s">
        <v>378</v>
      </c>
      <c r="D116" s="80"/>
      <c r="E116" s="20">
        <v>44141</v>
      </c>
      <c r="F116" s="78" t="s">
        <v>373</v>
      </c>
      <c r="G116" s="29">
        <v>15</v>
      </c>
      <c r="H116" s="71" t="s">
        <v>27</v>
      </c>
      <c r="I116" s="74" t="s">
        <v>115</v>
      </c>
      <c r="J116" s="74" t="s">
        <v>377</v>
      </c>
      <c r="K116" s="41" t="s">
        <v>34</v>
      </c>
      <c r="L116" s="25">
        <f t="shared" si="3"/>
        <v>2500000</v>
      </c>
      <c r="M116" s="25">
        <f t="shared" si="4"/>
        <v>2500000</v>
      </c>
      <c r="N116" s="25">
        <v>0</v>
      </c>
      <c r="O116" s="25">
        <v>2500000</v>
      </c>
      <c r="P116" s="25"/>
      <c r="Q116" s="25"/>
      <c r="R116" s="28" t="s">
        <v>35</v>
      </c>
      <c r="S116" s="28" t="s">
        <v>36</v>
      </c>
      <c r="T116" s="28"/>
      <c r="U116" s="28" t="s">
        <v>340</v>
      </c>
      <c r="V116" s="28" t="s">
        <v>158</v>
      </c>
      <c r="W116" s="28" t="s">
        <v>39</v>
      </c>
      <c r="X116" s="28" t="s">
        <v>40</v>
      </c>
      <c r="Y116" s="29" t="s">
        <v>159</v>
      </c>
      <c r="Z116" s="76" t="s">
        <v>42</v>
      </c>
    </row>
    <row r="117" spans="1:26" ht="57" customHeight="1" x14ac:dyDescent="0.25">
      <c r="A117" s="17" t="s">
        <v>336</v>
      </c>
      <c r="B117" s="75">
        <v>80131502</v>
      </c>
      <c r="C117" s="80" t="s">
        <v>379</v>
      </c>
      <c r="D117" s="80"/>
      <c r="E117" s="20">
        <v>44071</v>
      </c>
      <c r="F117" s="78" t="s">
        <v>198</v>
      </c>
      <c r="G117" s="79">
        <v>11.5</v>
      </c>
      <c r="H117" s="75" t="s">
        <v>31</v>
      </c>
      <c r="I117" s="80" t="s">
        <v>32</v>
      </c>
      <c r="J117" s="81" t="s">
        <v>375</v>
      </c>
      <c r="K117" s="41" t="s">
        <v>34</v>
      </c>
      <c r="L117" s="25">
        <f t="shared" si="3"/>
        <v>49540063</v>
      </c>
      <c r="M117" s="25">
        <f t="shared" si="4"/>
        <v>49540063</v>
      </c>
      <c r="N117" s="25">
        <v>0</v>
      </c>
      <c r="O117" s="25">
        <v>49540063</v>
      </c>
      <c r="P117" s="25"/>
      <c r="Q117" s="25"/>
      <c r="R117" s="28" t="s">
        <v>35</v>
      </c>
      <c r="S117" s="28" t="s">
        <v>36</v>
      </c>
      <c r="T117" s="28"/>
      <c r="U117" s="28" t="s">
        <v>340</v>
      </c>
      <c r="V117" s="28" t="s">
        <v>158</v>
      </c>
      <c r="W117" s="28" t="s">
        <v>39</v>
      </c>
      <c r="X117" s="28" t="s">
        <v>40</v>
      </c>
      <c r="Y117" s="29" t="s">
        <v>159</v>
      </c>
      <c r="Z117" s="76" t="s">
        <v>42</v>
      </c>
    </row>
    <row r="118" spans="1:26" ht="71.25" customHeight="1" x14ac:dyDescent="0.25">
      <c r="A118" s="17" t="s">
        <v>336</v>
      </c>
      <c r="B118" s="71">
        <v>80131502</v>
      </c>
      <c r="C118" s="72" t="s">
        <v>380</v>
      </c>
      <c r="D118" s="72"/>
      <c r="E118" s="20">
        <v>44071</v>
      </c>
      <c r="F118" s="78" t="s">
        <v>198</v>
      </c>
      <c r="G118" s="79">
        <v>11.5</v>
      </c>
      <c r="H118" s="71" t="s">
        <v>31</v>
      </c>
      <c r="I118" s="72" t="s">
        <v>32</v>
      </c>
      <c r="J118" s="74" t="s">
        <v>375</v>
      </c>
      <c r="K118" s="41" t="s">
        <v>34</v>
      </c>
      <c r="L118" s="25">
        <f t="shared" si="3"/>
        <v>55200000</v>
      </c>
      <c r="M118" s="25">
        <f t="shared" si="4"/>
        <v>55200000</v>
      </c>
      <c r="N118" s="25"/>
      <c r="O118" s="25">
        <v>55200000</v>
      </c>
      <c r="P118" s="25"/>
      <c r="Q118" s="25"/>
      <c r="R118" s="28" t="s">
        <v>35</v>
      </c>
      <c r="S118" s="28" t="s">
        <v>36</v>
      </c>
      <c r="T118" s="28"/>
      <c r="U118" s="28" t="s">
        <v>340</v>
      </c>
      <c r="V118" s="28" t="s">
        <v>158</v>
      </c>
      <c r="W118" s="28" t="s">
        <v>39</v>
      </c>
      <c r="X118" s="28" t="s">
        <v>40</v>
      </c>
      <c r="Y118" s="29" t="s">
        <v>159</v>
      </c>
      <c r="Z118" s="76" t="s">
        <v>42</v>
      </c>
    </row>
    <row r="119" spans="1:26" ht="57" customHeight="1" x14ac:dyDescent="0.25">
      <c r="A119" s="17" t="s">
        <v>336</v>
      </c>
      <c r="B119" s="71">
        <v>80131502</v>
      </c>
      <c r="C119" s="72" t="s">
        <v>381</v>
      </c>
      <c r="D119" s="72"/>
      <c r="E119" s="20">
        <v>44071</v>
      </c>
      <c r="F119" s="78" t="s">
        <v>198</v>
      </c>
      <c r="G119" s="79">
        <v>11.5</v>
      </c>
      <c r="H119" s="71" t="s">
        <v>31</v>
      </c>
      <c r="I119" s="72" t="s">
        <v>32</v>
      </c>
      <c r="J119" s="74" t="s">
        <v>375</v>
      </c>
      <c r="K119" s="41" t="s">
        <v>34</v>
      </c>
      <c r="L119" s="25">
        <f t="shared" si="3"/>
        <v>61889285</v>
      </c>
      <c r="M119" s="25">
        <f t="shared" si="4"/>
        <v>61889285</v>
      </c>
      <c r="N119" s="25">
        <v>0</v>
      </c>
      <c r="O119" s="25">
        <v>61889285</v>
      </c>
      <c r="P119" s="25"/>
      <c r="Q119" s="25"/>
      <c r="R119" s="28" t="s">
        <v>35</v>
      </c>
      <c r="S119" s="28" t="s">
        <v>36</v>
      </c>
      <c r="T119" s="28"/>
      <c r="U119" s="28" t="s">
        <v>340</v>
      </c>
      <c r="V119" s="28" t="s">
        <v>158</v>
      </c>
      <c r="W119" s="28" t="s">
        <v>39</v>
      </c>
      <c r="X119" s="28" t="s">
        <v>40</v>
      </c>
      <c r="Y119" s="29" t="s">
        <v>159</v>
      </c>
      <c r="Z119" s="76" t="s">
        <v>42</v>
      </c>
    </row>
    <row r="120" spans="1:26" ht="57" customHeight="1" x14ac:dyDescent="0.25">
      <c r="A120" s="17" t="s">
        <v>336</v>
      </c>
      <c r="B120" s="71">
        <v>80131502</v>
      </c>
      <c r="C120" s="80" t="s">
        <v>382</v>
      </c>
      <c r="D120" s="80"/>
      <c r="E120" s="20">
        <v>44071</v>
      </c>
      <c r="F120" s="78" t="s">
        <v>198</v>
      </c>
      <c r="G120" s="79">
        <v>11.5</v>
      </c>
      <c r="H120" s="71" t="s">
        <v>31</v>
      </c>
      <c r="I120" s="72" t="s">
        <v>32</v>
      </c>
      <c r="J120" s="74" t="s">
        <v>375</v>
      </c>
      <c r="K120" s="41" t="s">
        <v>34</v>
      </c>
      <c r="L120" s="25">
        <f t="shared" si="3"/>
        <v>101877600</v>
      </c>
      <c r="M120" s="25">
        <f t="shared" si="4"/>
        <v>101877600</v>
      </c>
      <c r="N120" s="25">
        <v>0</v>
      </c>
      <c r="O120" s="25">
        <v>101877600</v>
      </c>
      <c r="P120" s="25"/>
      <c r="Q120" s="25"/>
      <c r="R120" s="28" t="s">
        <v>35</v>
      </c>
      <c r="S120" s="28" t="s">
        <v>36</v>
      </c>
      <c r="T120" s="28"/>
      <c r="U120" s="28" t="s">
        <v>340</v>
      </c>
      <c r="V120" s="28" t="s">
        <v>158</v>
      </c>
      <c r="W120" s="28" t="s">
        <v>39</v>
      </c>
      <c r="X120" s="28" t="s">
        <v>40</v>
      </c>
      <c r="Y120" s="29" t="s">
        <v>159</v>
      </c>
      <c r="Z120" s="76" t="s">
        <v>42</v>
      </c>
    </row>
    <row r="121" spans="1:26" ht="42.75" customHeight="1" x14ac:dyDescent="0.25">
      <c r="A121" s="17" t="s">
        <v>336</v>
      </c>
      <c r="B121" s="71">
        <v>80131502</v>
      </c>
      <c r="C121" s="80" t="s">
        <v>383</v>
      </c>
      <c r="D121" s="80"/>
      <c r="E121" s="20">
        <v>44071</v>
      </c>
      <c r="F121" s="78" t="s">
        <v>198</v>
      </c>
      <c r="G121" s="79">
        <v>11</v>
      </c>
      <c r="H121" s="71" t="s">
        <v>31</v>
      </c>
      <c r="I121" s="72" t="s">
        <v>32</v>
      </c>
      <c r="J121" s="74" t="s">
        <v>375</v>
      </c>
      <c r="K121" s="41" t="s">
        <v>34</v>
      </c>
      <c r="L121" s="25">
        <f t="shared" si="3"/>
        <v>38133334</v>
      </c>
      <c r="M121" s="25">
        <f t="shared" si="4"/>
        <v>38133334</v>
      </c>
      <c r="N121" s="25">
        <v>0</v>
      </c>
      <c r="O121" s="25">
        <f>33000000+7000000- 1866666</f>
        <v>38133334</v>
      </c>
      <c r="P121" s="25"/>
      <c r="Q121" s="25"/>
      <c r="R121" s="28" t="s">
        <v>35</v>
      </c>
      <c r="S121" s="28" t="s">
        <v>36</v>
      </c>
      <c r="T121" s="28" t="s">
        <v>90</v>
      </c>
      <c r="U121" s="28" t="s">
        <v>340</v>
      </c>
      <c r="V121" s="28" t="s">
        <v>158</v>
      </c>
      <c r="W121" s="28" t="s">
        <v>39</v>
      </c>
      <c r="X121" s="28" t="s">
        <v>40</v>
      </c>
      <c r="Y121" s="29" t="s">
        <v>159</v>
      </c>
      <c r="Z121" s="76" t="s">
        <v>42</v>
      </c>
    </row>
    <row r="122" spans="1:26" ht="57" customHeight="1" x14ac:dyDescent="0.25">
      <c r="A122" s="17" t="s">
        <v>336</v>
      </c>
      <c r="B122" s="71">
        <v>80131502</v>
      </c>
      <c r="C122" s="72" t="s">
        <v>384</v>
      </c>
      <c r="D122" s="72"/>
      <c r="E122" s="20">
        <v>44071</v>
      </c>
      <c r="F122" s="78" t="s">
        <v>198</v>
      </c>
      <c r="G122" s="79">
        <v>11.5</v>
      </c>
      <c r="H122" s="71" t="s">
        <v>31</v>
      </c>
      <c r="I122" s="72" t="s">
        <v>32</v>
      </c>
      <c r="J122" s="74" t="s">
        <v>375</v>
      </c>
      <c r="K122" s="41" t="s">
        <v>34</v>
      </c>
      <c r="L122" s="25">
        <f t="shared" si="3"/>
        <v>51320044</v>
      </c>
      <c r="M122" s="25">
        <f t="shared" si="4"/>
        <v>51320044</v>
      </c>
      <c r="N122" s="26">
        <v>51320044</v>
      </c>
      <c r="O122" s="25">
        <v>0</v>
      </c>
      <c r="P122" s="25"/>
      <c r="Q122" s="25"/>
      <c r="R122" s="28" t="s">
        <v>35</v>
      </c>
      <c r="S122" s="28" t="s">
        <v>36</v>
      </c>
      <c r="T122" s="28"/>
      <c r="U122" s="28" t="s">
        <v>340</v>
      </c>
      <c r="V122" s="28" t="s">
        <v>158</v>
      </c>
      <c r="W122" s="28" t="s">
        <v>39</v>
      </c>
      <c r="X122" s="28" t="s">
        <v>40</v>
      </c>
      <c r="Y122" s="29" t="s">
        <v>159</v>
      </c>
      <c r="Z122" s="76" t="s">
        <v>42</v>
      </c>
    </row>
    <row r="123" spans="1:26" ht="57" customHeight="1" x14ac:dyDescent="0.25">
      <c r="A123" s="17" t="s">
        <v>336</v>
      </c>
      <c r="B123" s="71">
        <v>80131502</v>
      </c>
      <c r="C123" s="72" t="s">
        <v>385</v>
      </c>
      <c r="D123" s="72"/>
      <c r="E123" s="20">
        <v>44071</v>
      </c>
      <c r="F123" s="78" t="s">
        <v>198</v>
      </c>
      <c r="G123" s="79">
        <v>11.5</v>
      </c>
      <c r="H123" s="71" t="s">
        <v>31</v>
      </c>
      <c r="I123" s="72" t="s">
        <v>32</v>
      </c>
      <c r="J123" s="74" t="s">
        <v>375</v>
      </c>
      <c r="K123" s="41" t="s">
        <v>34</v>
      </c>
      <c r="L123" s="25">
        <f t="shared" si="3"/>
        <v>83159117</v>
      </c>
      <c r="M123" s="25">
        <f t="shared" si="4"/>
        <v>83159117</v>
      </c>
      <c r="N123" s="25">
        <v>83159117</v>
      </c>
      <c r="O123" s="25">
        <v>0</v>
      </c>
      <c r="P123" s="25"/>
      <c r="Q123" s="25"/>
      <c r="R123" s="28" t="s">
        <v>35</v>
      </c>
      <c r="S123" s="28" t="s">
        <v>36</v>
      </c>
      <c r="T123" s="28"/>
      <c r="U123" s="28" t="s">
        <v>340</v>
      </c>
      <c r="V123" s="28" t="s">
        <v>158</v>
      </c>
      <c r="W123" s="28" t="s">
        <v>39</v>
      </c>
      <c r="X123" s="28" t="s">
        <v>40</v>
      </c>
      <c r="Y123" s="29" t="s">
        <v>159</v>
      </c>
      <c r="Z123" s="76" t="s">
        <v>42</v>
      </c>
    </row>
    <row r="124" spans="1:26" ht="57" customHeight="1" x14ac:dyDescent="0.25">
      <c r="A124" s="17" t="s">
        <v>336</v>
      </c>
      <c r="B124" s="71">
        <v>80131502</v>
      </c>
      <c r="C124" s="72" t="s">
        <v>386</v>
      </c>
      <c r="D124" s="72"/>
      <c r="E124" s="20">
        <v>44071</v>
      </c>
      <c r="F124" s="78" t="s">
        <v>198</v>
      </c>
      <c r="G124" s="79">
        <v>11.5</v>
      </c>
      <c r="H124" s="71" t="s">
        <v>31</v>
      </c>
      <c r="I124" s="72" t="s">
        <v>32</v>
      </c>
      <c r="J124" s="74" t="s">
        <v>375</v>
      </c>
      <c r="K124" s="41" t="s">
        <v>34</v>
      </c>
      <c r="L124" s="25">
        <f t="shared" si="3"/>
        <v>117250000</v>
      </c>
      <c r="M124" s="25">
        <f t="shared" si="4"/>
        <v>117250000</v>
      </c>
      <c r="N124" s="25">
        <v>117250000</v>
      </c>
      <c r="O124" s="25">
        <v>0</v>
      </c>
      <c r="P124" s="25"/>
      <c r="Q124" s="25"/>
      <c r="R124" s="28" t="s">
        <v>35</v>
      </c>
      <c r="S124" s="28" t="s">
        <v>36</v>
      </c>
      <c r="T124" s="28"/>
      <c r="U124" s="28" t="s">
        <v>340</v>
      </c>
      <c r="V124" s="28" t="s">
        <v>158</v>
      </c>
      <c r="W124" s="28" t="s">
        <v>39</v>
      </c>
      <c r="X124" s="28" t="s">
        <v>40</v>
      </c>
      <c r="Y124" s="29" t="s">
        <v>159</v>
      </c>
      <c r="Z124" s="76" t="s">
        <v>42</v>
      </c>
    </row>
    <row r="125" spans="1:26" ht="57" customHeight="1" x14ac:dyDescent="0.25">
      <c r="A125" s="17" t="s">
        <v>336</v>
      </c>
      <c r="B125" s="71">
        <v>80131502</v>
      </c>
      <c r="C125" s="72" t="s">
        <v>387</v>
      </c>
      <c r="D125" s="72"/>
      <c r="E125" s="20">
        <v>44071</v>
      </c>
      <c r="F125" s="78" t="s">
        <v>198</v>
      </c>
      <c r="G125" s="79">
        <v>11.5</v>
      </c>
      <c r="H125" s="71" t="s">
        <v>31</v>
      </c>
      <c r="I125" s="72" t="s">
        <v>32</v>
      </c>
      <c r="J125" s="74" t="s">
        <v>375</v>
      </c>
      <c r="K125" s="41" t="s">
        <v>34</v>
      </c>
      <c r="L125" s="25">
        <f t="shared" si="3"/>
        <v>107275625</v>
      </c>
      <c r="M125" s="25">
        <f t="shared" si="4"/>
        <v>107275625</v>
      </c>
      <c r="N125" s="25">
        <v>107275625</v>
      </c>
      <c r="O125" s="25">
        <v>0</v>
      </c>
      <c r="P125" s="25"/>
      <c r="Q125" s="25"/>
      <c r="R125" s="28" t="s">
        <v>35</v>
      </c>
      <c r="S125" s="28" t="s">
        <v>36</v>
      </c>
      <c r="T125" s="28"/>
      <c r="U125" s="28" t="s">
        <v>340</v>
      </c>
      <c r="V125" s="28" t="s">
        <v>158</v>
      </c>
      <c r="W125" s="28" t="s">
        <v>39</v>
      </c>
      <c r="X125" s="28" t="s">
        <v>40</v>
      </c>
      <c r="Y125" s="29" t="s">
        <v>159</v>
      </c>
      <c r="Z125" s="76" t="s">
        <v>42</v>
      </c>
    </row>
    <row r="126" spans="1:26" ht="57" customHeight="1" x14ac:dyDescent="0.25">
      <c r="A126" s="17" t="s">
        <v>336</v>
      </c>
      <c r="B126" s="71">
        <v>80131502</v>
      </c>
      <c r="C126" s="72" t="s">
        <v>388</v>
      </c>
      <c r="D126" s="72"/>
      <c r="E126" s="20">
        <v>44071</v>
      </c>
      <c r="F126" s="78" t="s">
        <v>198</v>
      </c>
      <c r="G126" s="79">
        <v>11.5</v>
      </c>
      <c r="H126" s="71" t="s">
        <v>31</v>
      </c>
      <c r="I126" s="72" t="s">
        <v>32</v>
      </c>
      <c r="J126" s="74" t="s">
        <v>375</v>
      </c>
      <c r="K126" s="41" t="s">
        <v>34</v>
      </c>
      <c r="L126" s="25">
        <f t="shared" si="3"/>
        <v>117934740</v>
      </c>
      <c r="M126" s="25">
        <f t="shared" si="4"/>
        <v>117934740</v>
      </c>
      <c r="N126" s="26">
        <v>117934740</v>
      </c>
      <c r="O126" s="25">
        <v>0</v>
      </c>
      <c r="P126" s="25"/>
      <c r="Q126" s="25"/>
      <c r="R126" s="28" t="s">
        <v>35</v>
      </c>
      <c r="S126" s="28" t="s">
        <v>36</v>
      </c>
      <c r="T126" s="28"/>
      <c r="U126" s="28" t="s">
        <v>340</v>
      </c>
      <c r="V126" s="28" t="s">
        <v>158</v>
      </c>
      <c r="W126" s="28" t="s">
        <v>39</v>
      </c>
      <c r="X126" s="28" t="s">
        <v>40</v>
      </c>
      <c r="Y126" s="29" t="s">
        <v>159</v>
      </c>
      <c r="Z126" s="76" t="s">
        <v>42</v>
      </c>
    </row>
    <row r="127" spans="1:26" ht="57" customHeight="1" x14ac:dyDescent="0.25">
      <c r="A127" s="17" t="s">
        <v>336</v>
      </c>
      <c r="B127" s="71">
        <v>80131502</v>
      </c>
      <c r="C127" s="72" t="s">
        <v>389</v>
      </c>
      <c r="D127" s="72"/>
      <c r="E127" s="20">
        <v>44071</v>
      </c>
      <c r="F127" s="78" t="s">
        <v>198</v>
      </c>
      <c r="G127" s="79">
        <v>11.5</v>
      </c>
      <c r="H127" s="71" t="s">
        <v>31</v>
      </c>
      <c r="I127" s="72" t="s">
        <v>32</v>
      </c>
      <c r="J127" s="74" t="s">
        <v>375</v>
      </c>
      <c r="K127" s="41" t="s">
        <v>34</v>
      </c>
      <c r="L127" s="25">
        <f t="shared" si="3"/>
        <v>74321844</v>
      </c>
      <c r="M127" s="25">
        <f t="shared" si="4"/>
        <v>74321844</v>
      </c>
      <c r="N127" s="25">
        <v>74321844</v>
      </c>
      <c r="O127" s="25">
        <v>0</v>
      </c>
      <c r="P127" s="25"/>
      <c r="Q127" s="25"/>
      <c r="R127" s="28" t="s">
        <v>35</v>
      </c>
      <c r="S127" s="28" t="s">
        <v>36</v>
      </c>
      <c r="T127" s="28"/>
      <c r="U127" s="28" t="s">
        <v>340</v>
      </c>
      <c r="V127" s="28" t="s">
        <v>158</v>
      </c>
      <c r="W127" s="28" t="s">
        <v>39</v>
      </c>
      <c r="X127" s="28" t="s">
        <v>40</v>
      </c>
      <c r="Y127" s="29" t="s">
        <v>159</v>
      </c>
      <c r="Z127" s="76" t="s">
        <v>42</v>
      </c>
    </row>
    <row r="128" spans="1:26" ht="57" customHeight="1" x14ac:dyDescent="0.25">
      <c r="A128" s="17" t="s">
        <v>336</v>
      </c>
      <c r="B128" s="71">
        <v>80131502</v>
      </c>
      <c r="C128" s="72" t="s">
        <v>390</v>
      </c>
      <c r="D128" s="72"/>
      <c r="E128" s="20">
        <v>44071</v>
      </c>
      <c r="F128" s="78" t="s">
        <v>198</v>
      </c>
      <c r="G128" s="79">
        <v>11.5</v>
      </c>
      <c r="H128" s="71" t="s">
        <v>31</v>
      </c>
      <c r="I128" s="72" t="s">
        <v>32</v>
      </c>
      <c r="J128" s="74" t="s">
        <v>375</v>
      </c>
      <c r="K128" s="41" t="s">
        <v>34</v>
      </c>
      <c r="L128" s="25">
        <f t="shared" si="3"/>
        <v>60871791</v>
      </c>
      <c r="M128" s="25">
        <f t="shared" si="4"/>
        <v>60871791</v>
      </c>
      <c r="N128" s="25">
        <v>60871791</v>
      </c>
      <c r="O128" s="25">
        <v>0</v>
      </c>
      <c r="P128" s="25"/>
      <c r="Q128" s="25"/>
      <c r="R128" s="28" t="s">
        <v>35</v>
      </c>
      <c r="S128" s="28" t="s">
        <v>36</v>
      </c>
      <c r="T128" s="28"/>
      <c r="U128" s="28" t="s">
        <v>340</v>
      </c>
      <c r="V128" s="28" t="s">
        <v>158</v>
      </c>
      <c r="W128" s="28" t="s">
        <v>39</v>
      </c>
      <c r="X128" s="28" t="s">
        <v>40</v>
      </c>
      <c r="Y128" s="29" t="s">
        <v>159</v>
      </c>
      <c r="Z128" s="76" t="s">
        <v>42</v>
      </c>
    </row>
    <row r="129" spans="1:26" ht="57" customHeight="1" x14ac:dyDescent="0.25">
      <c r="A129" s="17" t="s">
        <v>336</v>
      </c>
      <c r="B129" s="71">
        <v>80131502</v>
      </c>
      <c r="C129" s="72" t="s">
        <v>391</v>
      </c>
      <c r="D129" s="72"/>
      <c r="E129" s="20">
        <v>44071</v>
      </c>
      <c r="F129" s="78" t="s">
        <v>198</v>
      </c>
      <c r="G129" s="79">
        <v>11.5</v>
      </c>
      <c r="H129" s="71" t="s">
        <v>31</v>
      </c>
      <c r="I129" s="72" t="s">
        <v>32</v>
      </c>
      <c r="J129" s="74" t="s">
        <v>375</v>
      </c>
      <c r="K129" s="41" t="s">
        <v>34</v>
      </c>
      <c r="L129" s="25">
        <f t="shared" si="3"/>
        <v>52188900</v>
      </c>
      <c r="M129" s="25">
        <f t="shared" si="4"/>
        <v>52188900</v>
      </c>
      <c r="N129" s="25">
        <v>52188900</v>
      </c>
      <c r="O129" s="25">
        <v>0</v>
      </c>
      <c r="P129" s="25"/>
      <c r="Q129" s="25"/>
      <c r="R129" s="28" t="s">
        <v>35</v>
      </c>
      <c r="S129" s="28" t="s">
        <v>36</v>
      </c>
      <c r="T129" s="28"/>
      <c r="U129" s="28" t="s">
        <v>340</v>
      </c>
      <c r="V129" s="28" t="s">
        <v>158</v>
      </c>
      <c r="W129" s="28" t="s">
        <v>39</v>
      </c>
      <c r="X129" s="28" t="s">
        <v>40</v>
      </c>
      <c r="Y129" s="29" t="s">
        <v>159</v>
      </c>
      <c r="Z129" s="76" t="s">
        <v>42</v>
      </c>
    </row>
    <row r="130" spans="1:26" ht="57" customHeight="1" x14ac:dyDescent="0.25">
      <c r="A130" s="17" t="s">
        <v>336</v>
      </c>
      <c r="B130" s="71">
        <v>80131502</v>
      </c>
      <c r="C130" s="72" t="s">
        <v>392</v>
      </c>
      <c r="D130" s="72"/>
      <c r="E130" s="20">
        <v>44071</v>
      </c>
      <c r="F130" s="78" t="s">
        <v>198</v>
      </c>
      <c r="G130" s="79">
        <v>11.5</v>
      </c>
      <c r="H130" s="71" t="s">
        <v>31</v>
      </c>
      <c r="I130" s="72" t="s">
        <v>32</v>
      </c>
      <c r="J130" s="74" t="s">
        <v>375</v>
      </c>
      <c r="K130" s="41" t="s">
        <v>34</v>
      </c>
      <c r="L130" s="25">
        <f t="shared" si="3"/>
        <v>77660721</v>
      </c>
      <c r="M130" s="25">
        <f t="shared" si="4"/>
        <v>77660721</v>
      </c>
      <c r="N130" s="25">
        <v>77660721</v>
      </c>
      <c r="O130" s="25">
        <v>0</v>
      </c>
      <c r="P130" s="25"/>
      <c r="Q130" s="25"/>
      <c r="R130" s="28" t="s">
        <v>35</v>
      </c>
      <c r="S130" s="28" t="s">
        <v>36</v>
      </c>
      <c r="T130" s="28"/>
      <c r="U130" s="28" t="s">
        <v>340</v>
      </c>
      <c r="V130" s="28" t="s">
        <v>158</v>
      </c>
      <c r="W130" s="28" t="s">
        <v>39</v>
      </c>
      <c r="X130" s="28" t="s">
        <v>40</v>
      </c>
      <c r="Y130" s="29" t="s">
        <v>159</v>
      </c>
      <c r="Z130" s="76" t="s">
        <v>42</v>
      </c>
    </row>
    <row r="131" spans="1:26" ht="42.75" customHeight="1" x14ac:dyDescent="0.25">
      <c r="A131" s="17" t="s">
        <v>336</v>
      </c>
      <c r="B131" s="71">
        <v>80131502</v>
      </c>
      <c r="C131" s="72" t="s">
        <v>393</v>
      </c>
      <c r="D131" s="72"/>
      <c r="E131" s="20">
        <v>44071</v>
      </c>
      <c r="F131" s="78" t="s">
        <v>198</v>
      </c>
      <c r="G131" s="79">
        <v>11.5</v>
      </c>
      <c r="H131" s="71" t="s">
        <v>31</v>
      </c>
      <c r="I131" s="72" t="s">
        <v>32</v>
      </c>
      <c r="J131" s="74" t="s">
        <v>375</v>
      </c>
      <c r="K131" s="41" t="s">
        <v>34</v>
      </c>
      <c r="L131" s="25">
        <f t="shared" si="3"/>
        <v>46729818</v>
      </c>
      <c r="M131" s="25">
        <f t="shared" si="4"/>
        <v>46729818</v>
      </c>
      <c r="N131" s="26">
        <v>46729818</v>
      </c>
      <c r="O131" s="25">
        <v>0</v>
      </c>
      <c r="P131" s="25"/>
      <c r="Q131" s="25"/>
      <c r="R131" s="28" t="s">
        <v>35</v>
      </c>
      <c r="S131" s="28" t="s">
        <v>36</v>
      </c>
      <c r="T131" s="28"/>
      <c r="U131" s="28" t="s">
        <v>340</v>
      </c>
      <c r="V131" s="28" t="s">
        <v>158</v>
      </c>
      <c r="W131" s="28" t="s">
        <v>39</v>
      </c>
      <c r="X131" s="28" t="s">
        <v>40</v>
      </c>
      <c r="Y131" s="29" t="s">
        <v>159</v>
      </c>
      <c r="Z131" s="76" t="s">
        <v>42</v>
      </c>
    </row>
    <row r="132" spans="1:26" ht="42.75" customHeight="1" x14ac:dyDescent="0.25">
      <c r="A132" s="17" t="s">
        <v>336</v>
      </c>
      <c r="B132" s="71">
        <v>80131502</v>
      </c>
      <c r="C132" s="72" t="s">
        <v>394</v>
      </c>
      <c r="D132" s="72"/>
      <c r="E132" s="20">
        <v>44071</v>
      </c>
      <c r="F132" s="78" t="s">
        <v>198</v>
      </c>
      <c r="G132" s="79">
        <v>11.5</v>
      </c>
      <c r="H132" s="71" t="s">
        <v>31</v>
      </c>
      <c r="I132" s="72" t="s">
        <v>32</v>
      </c>
      <c r="J132" s="74" t="s">
        <v>375</v>
      </c>
      <c r="K132" s="41" t="s">
        <v>34</v>
      </c>
      <c r="L132" s="25">
        <f t="shared" si="3"/>
        <v>75352335</v>
      </c>
      <c r="M132" s="25">
        <f t="shared" si="4"/>
        <v>75352335</v>
      </c>
      <c r="N132" s="26">
        <v>75352335</v>
      </c>
      <c r="O132" s="25">
        <v>0</v>
      </c>
      <c r="P132" s="25"/>
      <c r="Q132" s="25"/>
      <c r="R132" s="28" t="s">
        <v>35</v>
      </c>
      <c r="S132" s="28" t="s">
        <v>36</v>
      </c>
      <c r="T132" s="28"/>
      <c r="U132" s="28" t="s">
        <v>340</v>
      </c>
      <c r="V132" s="28" t="s">
        <v>158</v>
      </c>
      <c r="W132" s="28" t="s">
        <v>39</v>
      </c>
      <c r="X132" s="28" t="s">
        <v>40</v>
      </c>
      <c r="Y132" s="29" t="s">
        <v>159</v>
      </c>
      <c r="Z132" s="76" t="s">
        <v>42</v>
      </c>
    </row>
    <row r="133" spans="1:26" ht="57" customHeight="1" x14ac:dyDescent="0.25">
      <c r="A133" s="17" t="s">
        <v>336</v>
      </c>
      <c r="B133" s="71">
        <v>80131502</v>
      </c>
      <c r="C133" s="72" t="s">
        <v>395</v>
      </c>
      <c r="D133" s="72"/>
      <c r="E133" s="20">
        <v>44071</v>
      </c>
      <c r="F133" s="78" t="s">
        <v>198</v>
      </c>
      <c r="G133" s="79">
        <v>11.5</v>
      </c>
      <c r="H133" s="71" t="s">
        <v>31</v>
      </c>
      <c r="I133" s="72" t="s">
        <v>32</v>
      </c>
      <c r="J133" s="74" t="s">
        <v>375</v>
      </c>
      <c r="K133" s="41" t="s">
        <v>34</v>
      </c>
      <c r="L133" s="25">
        <f t="shared" si="3"/>
        <v>55320000</v>
      </c>
      <c r="M133" s="25">
        <f t="shared" si="4"/>
        <v>55320000</v>
      </c>
      <c r="N133" s="25">
        <v>55320000</v>
      </c>
      <c r="O133" s="25"/>
      <c r="P133" s="25"/>
      <c r="Q133" s="25"/>
      <c r="R133" s="28" t="s">
        <v>35</v>
      </c>
      <c r="S133" s="28" t="s">
        <v>36</v>
      </c>
      <c r="T133" s="28"/>
      <c r="U133" s="28" t="s">
        <v>340</v>
      </c>
      <c r="V133" s="28" t="s">
        <v>158</v>
      </c>
      <c r="W133" s="28" t="s">
        <v>39</v>
      </c>
      <c r="X133" s="28" t="s">
        <v>40</v>
      </c>
      <c r="Y133" s="29" t="s">
        <v>159</v>
      </c>
      <c r="Z133" s="76" t="s">
        <v>42</v>
      </c>
    </row>
    <row r="134" spans="1:26" ht="57" customHeight="1" x14ac:dyDescent="0.25">
      <c r="A134" s="17" t="s">
        <v>336</v>
      </c>
      <c r="B134" s="71">
        <v>80131502</v>
      </c>
      <c r="C134" s="72" t="s">
        <v>396</v>
      </c>
      <c r="D134" s="72"/>
      <c r="E134" s="20"/>
      <c r="F134" s="78"/>
      <c r="G134" s="79">
        <v>11.5</v>
      </c>
      <c r="H134" s="71" t="s">
        <v>31</v>
      </c>
      <c r="I134" s="72" t="s">
        <v>32</v>
      </c>
      <c r="J134" s="74" t="s">
        <v>375</v>
      </c>
      <c r="K134" s="41" t="s">
        <v>34</v>
      </c>
      <c r="L134" s="25">
        <f t="shared" ref="L134:L175" si="5">+M134+P134+Q134</f>
        <v>72390332</v>
      </c>
      <c r="M134" s="25">
        <f t="shared" si="4"/>
        <v>72390332</v>
      </c>
      <c r="N134" s="25">
        <v>72390332</v>
      </c>
      <c r="O134" s="25">
        <v>0</v>
      </c>
      <c r="P134" s="25"/>
      <c r="Q134" s="25"/>
      <c r="R134" s="28" t="s">
        <v>35</v>
      </c>
      <c r="S134" s="28" t="s">
        <v>36</v>
      </c>
      <c r="T134" s="28"/>
      <c r="U134" s="28" t="s">
        <v>340</v>
      </c>
      <c r="V134" s="28" t="s">
        <v>158</v>
      </c>
      <c r="W134" s="28" t="s">
        <v>39</v>
      </c>
      <c r="X134" s="28" t="s">
        <v>40</v>
      </c>
      <c r="Y134" s="29" t="s">
        <v>159</v>
      </c>
      <c r="Z134" s="76" t="s">
        <v>42</v>
      </c>
    </row>
    <row r="135" spans="1:26" ht="57" customHeight="1" x14ac:dyDescent="0.25">
      <c r="A135" s="17" t="s">
        <v>336</v>
      </c>
      <c r="B135" s="71">
        <v>80131502</v>
      </c>
      <c r="C135" s="72" t="s">
        <v>397</v>
      </c>
      <c r="D135" s="72"/>
      <c r="E135" s="20"/>
      <c r="F135" s="78"/>
      <c r="G135" s="79">
        <v>11.5</v>
      </c>
      <c r="H135" s="71" t="s">
        <v>31</v>
      </c>
      <c r="I135" s="72" t="s">
        <v>32</v>
      </c>
      <c r="J135" s="74" t="s">
        <v>375</v>
      </c>
      <c r="K135" s="41" t="s">
        <v>34</v>
      </c>
      <c r="L135" s="25">
        <f t="shared" si="5"/>
        <v>48001625</v>
      </c>
      <c r="M135" s="25">
        <f t="shared" si="4"/>
        <v>48001625</v>
      </c>
      <c r="N135" s="25">
        <v>48001625</v>
      </c>
      <c r="O135" s="25">
        <v>0</v>
      </c>
      <c r="P135" s="25"/>
      <c r="Q135" s="25"/>
      <c r="R135" s="28" t="s">
        <v>35</v>
      </c>
      <c r="S135" s="28" t="s">
        <v>36</v>
      </c>
      <c r="T135" s="28"/>
      <c r="U135" s="28" t="s">
        <v>340</v>
      </c>
      <c r="V135" s="28" t="s">
        <v>158</v>
      </c>
      <c r="W135" s="28" t="s">
        <v>39</v>
      </c>
      <c r="X135" s="28" t="s">
        <v>40</v>
      </c>
      <c r="Y135" s="29" t="s">
        <v>159</v>
      </c>
      <c r="Z135" s="76" t="s">
        <v>42</v>
      </c>
    </row>
    <row r="136" spans="1:26" ht="57" customHeight="1" x14ac:dyDescent="0.25">
      <c r="A136" s="17" t="s">
        <v>336</v>
      </c>
      <c r="B136" s="71">
        <v>80131502</v>
      </c>
      <c r="C136" s="72" t="s">
        <v>398</v>
      </c>
      <c r="D136" s="72"/>
      <c r="E136" s="20"/>
      <c r="F136" s="78"/>
      <c r="G136" s="79">
        <v>11.5</v>
      </c>
      <c r="H136" s="71" t="s">
        <v>31</v>
      </c>
      <c r="I136" s="72" t="s">
        <v>32</v>
      </c>
      <c r="J136" s="74" t="s">
        <v>375</v>
      </c>
      <c r="K136" s="41" t="s">
        <v>34</v>
      </c>
      <c r="L136" s="25">
        <f t="shared" si="5"/>
        <v>93867658</v>
      </c>
      <c r="M136" s="25">
        <f t="shared" si="4"/>
        <v>93867658</v>
      </c>
      <c r="N136" s="25">
        <v>93867658</v>
      </c>
      <c r="O136" s="25">
        <v>0</v>
      </c>
      <c r="P136" s="25"/>
      <c r="Q136" s="25"/>
      <c r="R136" s="28" t="s">
        <v>35</v>
      </c>
      <c r="S136" s="28" t="s">
        <v>36</v>
      </c>
      <c r="T136" s="28"/>
      <c r="U136" s="28" t="s">
        <v>340</v>
      </c>
      <c r="V136" s="28" t="s">
        <v>158</v>
      </c>
      <c r="W136" s="28" t="s">
        <v>39</v>
      </c>
      <c r="X136" s="28" t="s">
        <v>40</v>
      </c>
      <c r="Y136" s="29" t="s">
        <v>159</v>
      </c>
      <c r="Z136" s="76" t="s">
        <v>42</v>
      </c>
    </row>
    <row r="137" spans="1:26" ht="57" customHeight="1" x14ac:dyDescent="0.25">
      <c r="A137" s="17" t="s">
        <v>336</v>
      </c>
      <c r="B137" s="71">
        <v>80131502</v>
      </c>
      <c r="C137" s="72" t="s">
        <v>399</v>
      </c>
      <c r="D137" s="72"/>
      <c r="E137" s="20"/>
      <c r="F137" s="78"/>
      <c r="G137" s="79">
        <v>11.5</v>
      </c>
      <c r="H137" s="71" t="s">
        <v>31</v>
      </c>
      <c r="I137" s="72" t="s">
        <v>32</v>
      </c>
      <c r="J137" s="74" t="s">
        <v>375</v>
      </c>
      <c r="K137" s="41" t="s">
        <v>34</v>
      </c>
      <c r="L137" s="25">
        <f t="shared" si="5"/>
        <v>93743005</v>
      </c>
      <c r="M137" s="25">
        <f t="shared" si="4"/>
        <v>93743005</v>
      </c>
      <c r="N137" s="25">
        <v>93743005</v>
      </c>
      <c r="O137" s="25">
        <v>0</v>
      </c>
      <c r="P137" s="25"/>
      <c r="Q137" s="25"/>
      <c r="R137" s="28" t="s">
        <v>35</v>
      </c>
      <c r="S137" s="28" t="s">
        <v>36</v>
      </c>
      <c r="T137" s="28"/>
      <c r="U137" s="28" t="s">
        <v>340</v>
      </c>
      <c r="V137" s="28" t="s">
        <v>158</v>
      </c>
      <c r="W137" s="28" t="s">
        <v>39</v>
      </c>
      <c r="X137" s="28" t="s">
        <v>40</v>
      </c>
      <c r="Y137" s="29" t="s">
        <v>159</v>
      </c>
      <c r="Z137" s="76" t="s">
        <v>42</v>
      </c>
    </row>
    <row r="138" spans="1:26" ht="57" customHeight="1" x14ac:dyDescent="0.25">
      <c r="A138" s="17" t="s">
        <v>336</v>
      </c>
      <c r="B138" s="71">
        <v>80131502</v>
      </c>
      <c r="C138" s="72" t="s">
        <v>400</v>
      </c>
      <c r="D138" s="72"/>
      <c r="E138" s="20"/>
      <c r="F138" s="78"/>
      <c r="G138" s="79">
        <v>11.5</v>
      </c>
      <c r="H138" s="71" t="s">
        <v>31</v>
      </c>
      <c r="I138" s="72" t="s">
        <v>32</v>
      </c>
      <c r="J138" s="74" t="s">
        <v>375</v>
      </c>
      <c r="K138" s="41" t="s">
        <v>34</v>
      </c>
      <c r="L138" s="25">
        <f t="shared" si="5"/>
        <v>92200000</v>
      </c>
      <c r="M138" s="25">
        <f t="shared" si="4"/>
        <v>92200000</v>
      </c>
      <c r="N138" s="25">
        <v>92200000</v>
      </c>
      <c r="O138" s="25">
        <v>0</v>
      </c>
      <c r="P138" s="25"/>
      <c r="Q138" s="25"/>
      <c r="R138" s="28" t="s">
        <v>35</v>
      </c>
      <c r="S138" s="28" t="s">
        <v>36</v>
      </c>
      <c r="T138" s="28"/>
      <c r="U138" s="28" t="s">
        <v>340</v>
      </c>
      <c r="V138" s="28" t="s">
        <v>158</v>
      </c>
      <c r="W138" s="28" t="s">
        <v>39</v>
      </c>
      <c r="X138" s="28" t="s">
        <v>40</v>
      </c>
      <c r="Y138" s="29" t="s">
        <v>159</v>
      </c>
      <c r="Z138" s="76" t="s">
        <v>42</v>
      </c>
    </row>
    <row r="139" spans="1:26" ht="42.75" customHeight="1" x14ac:dyDescent="0.25">
      <c r="A139" s="17" t="s">
        <v>336</v>
      </c>
      <c r="B139" s="71">
        <v>80131502</v>
      </c>
      <c r="C139" s="72" t="s">
        <v>401</v>
      </c>
      <c r="D139" s="72"/>
      <c r="E139" s="20"/>
      <c r="F139" s="78"/>
      <c r="G139" s="79">
        <v>11.5</v>
      </c>
      <c r="H139" s="71" t="s">
        <v>31</v>
      </c>
      <c r="I139" s="72" t="s">
        <v>32</v>
      </c>
      <c r="J139" s="74" t="s">
        <v>375</v>
      </c>
      <c r="K139" s="41" t="s">
        <v>34</v>
      </c>
      <c r="L139" s="25">
        <f t="shared" si="5"/>
        <v>104719354</v>
      </c>
      <c r="M139" s="25">
        <f t="shared" si="4"/>
        <v>104719354</v>
      </c>
      <c r="N139" s="25">
        <v>104719354</v>
      </c>
      <c r="O139" s="25">
        <v>0</v>
      </c>
      <c r="P139" s="25"/>
      <c r="Q139" s="25"/>
      <c r="R139" s="28" t="s">
        <v>35</v>
      </c>
      <c r="S139" s="28" t="s">
        <v>36</v>
      </c>
      <c r="T139" s="28"/>
      <c r="U139" s="28" t="s">
        <v>340</v>
      </c>
      <c r="V139" s="28" t="s">
        <v>158</v>
      </c>
      <c r="W139" s="28" t="s">
        <v>39</v>
      </c>
      <c r="X139" s="28" t="s">
        <v>40</v>
      </c>
      <c r="Y139" s="29" t="s">
        <v>159</v>
      </c>
      <c r="Z139" s="76" t="s">
        <v>42</v>
      </c>
    </row>
    <row r="140" spans="1:26" ht="57" customHeight="1" x14ac:dyDescent="0.25">
      <c r="A140" s="17" t="s">
        <v>336</v>
      </c>
      <c r="B140" s="71">
        <v>80131502</v>
      </c>
      <c r="C140" s="72" t="s">
        <v>402</v>
      </c>
      <c r="D140" s="72"/>
      <c r="E140" s="20"/>
      <c r="F140" s="78"/>
      <c r="G140" s="79">
        <v>11.5</v>
      </c>
      <c r="H140" s="71" t="s">
        <v>31</v>
      </c>
      <c r="I140" s="72" t="s">
        <v>32</v>
      </c>
      <c r="J140" s="74" t="s">
        <v>375</v>
      </c>
      <c r="K140" s="41" t="s">
        <v>34</v>
      </c>
      <c r="L140" s="25">
        <f t="shared" si="5"/>
        <v>219981925</v>
      </c>
      <c r="M140" s="25">
        <f t="shared" si="4"/>
        <v>219981925</v>
      </c>
      <c r="N140" s="25">
        <v>219981925</v>
      </c>
      <c r="O140" s="25"/>
      <c r="P140" s="25"/>
      <c r="Q140" s="25"/>
      <c r="R140" s="28" t="s">
        <v>35</v>
      </c>
      <c r="S140" s="28" t="s">
        <v>36</v>
      </c>
      <c r="T140" s="28"/>
      <c r="U140" s="28" t="s">
        <v>340</v>
      </c>
      <c r="V140" s="28" t="s">
        <v>158</v>
      </c>
      <c r="W140" s="28" t="s">
        <v>39</v>
      </c>
      <c r="X140" s="28" t="s">
        <v>40</v>
      </c>
      <c r="Y140" s="29" t="s">
        <v>159</v>
      </c>
      <c r="Z140" s="76" t="s">
        <v>42</v>
      </c>
    </row>
    <row r="141" spans="1:26" ht="57" customHeight="1" x14ac:dyDescent="0.25">
      <c r="A141" s="17" t="s">
        <v>336</v>
      </c>
      <c r="B141" s="71">
        <v>80131502</v>
      </c>
      <c r="C141" s="72" t="s">
        <v>403</v>
      </c>
      <c r="D141" s="72"/>
      <c r="E141" s="20"/>
      <c r="F141" s="78"/>
      <c r="G141" s="79">
        <v>11.5</v>
      </c>
      <c r="H141" s="71" t="s">
        <v>31</v>
      </c>
      <c r="I141" s="72" t="s">
        <v>32</v>
      </c>
      <c r="J141" s="74" t="s">
        <v>375</v>
      </c>
      <c r="K141" s="41" t="s">
        <v>34</v>
      </c>
      <c r="L141" s="25">
        <f t="shared" si="5"/>
        <v>77182130</v>
      </c>
      <c r="M141" s="25">
        <f t="shared" si="4"/>
        <v>77182130</v>
      </c>
      <c r="N141" s="25">
        <v>77182130</v>
      </c>
      <c r="O141" s="25">
        <v>0</v>
      </c>
      <c r="P141" s="25"/>
      <c r="Q141" s="25"/>
      <c r="R141" s="28" t="s">
        <v>35</v>
      </c>
      <c r="S141" s="28" t="s">
        <v>36</v>
      </c>
      <c r="T141" s="28"/>
      <c r="U141" s="28" t="s">
        <v>340</v>
      </c>
      <c r="V141" s="28" t="s">
        <v>158</v>
      </c>
      <c r="W141" s="28" t="s">
        <v>39</v>
      </c>
      <c r="X141" s="28" t="s">
        <v>40</v>
      </c>
      <c r="Y141" s="29" t="s">
        <v>159</v>
      </c>
      <c r="Z141" s="76" t="s">
        <v>42</v>
      </c>
    </row>
    <row r="142" spans="1:26" ht="57" customHeight="1" x14ac:dyDescent="0.25">
      <c r="A142" s="17" t="s">
        <v>336</v>
      </c>
      <c r="B142" s="71">
        <v>80131502</v>
      </c>
      <c r="C142" s="72" t="s">
        <v>404</v>
      </c>
      <c r="D142" s="72"/>
      <c r="E142" s="20"/>
      <c r="F142" s="78"/>
      <c r="G142" s="79">
        <v>11.5</v>
      </c>
      <c r="H142" s="71" t="s">
        <v>31</v>
      </c>
      <c r="I142" s="72" t="s">
        <v>32</v>
      </c>
      <c r="J142" s="74" t="s">
        <v>375</v>
      </c>
      <c r="K142" s="41" t="s">
        <v>34</v>
      </c>
      <c r="L142" s="25">
        <f t="shared" si="5"/>
        <v>124382619</v>
      </c>
      <c r="M142" s="25">
        <f t="shared" si="4"/>
        <v>124382619</v>
      </c>
      <c r="N142" s="25">
        <v>124382619</v>
      </c>
      <c r="O142" s="25">
        <v>0</v>
      </c>
      <c r="P142" s="25"/>
      <c r="Q142" s="25"/>
      <c r="R142" s="28" t="s">
        <v>35</v>
      </c>
      <c r="S142" s="28" t="s">
        <v>36</v>
      </c>
      <c r="T142" s="28"/>
      <c r="U142" s="28" t="s">
        <v>340</v>
      </c>
      <c r="V142" s="28" t="s">
        <v>158</v>
      </c>
      <c r="W142" s="28" t="s">
        <v>39</v>
      </c>
      <c r="X142" s="28" t="s">
        <v>40</v>
      </c>
      <c r="Y142" s="29" t="s">
        <v>159</v>
      </c>
      <c r="Z142" s="76" t="s">
        <v>42</v>
      </c>
    </row>
    <row r="143" spans="1:26" ht="42.75" customHeight="1" x14ac:dyDescent="0.25">
      <c r="A143" s="17" t="s">
        <v>336</v>
      </c>
      <c r="B143" s="71">
        <v>80131502</v>
      </c>
      <c r="C143" s="72" t="s">
        <v>405</v>
      </c>
      <c r="D143" s="72"/>
      <c r="E143" s="20"/>
      <c r="F143" s="78"/>
      <c r="G143" s="79">
        <v>11.5</v>
      </c>
      <c r="H143" s="71" t="s">
        <v>31</v>
      </c>
      <c r="I143" s="72" t="s">
        <v>32</v>
      </c>
      <c r="J143" s="74" t="s">
        <v>375</v>
      </c>
      <c r="K143" s="41" t="s">
        <v>34</v>
      </c>
      <c r="L143" s="25">
        <f t="shared" si="5"/>
        <v>50387578</v>
      </c>
      <c r="M143" s="25">
        <f t="shared" si="4"/>
        <v>50387578</v>
      </c>
      <c r="N143" s="25">
        <v>50387578</v>
      </c>
      <c r="O143" s="25">
        <v>0</v>
      </c>
      <c r="P143" s="25"/>
      <c r="Q143" s="25"/>
      <c r="R143" s="28" t="s">
        <v>35</v>
      </c>
      <c r="S143" s="28" t="s">
        <v>36</v>
      </c>
      <c r="T143" s="28"/>
      <c r="U143" s="28" t="s">
        <v>340</v>
      </c>
      <c r="V143" s="28" t="s">
        <v>158</v>
      </c>
      <c r="W143" s="28" t="s">
        <v>39</v>
      </c>
      <c r="X143" s="28" t="s">
        <v>40</v>
      </c>
      <c r="Y143" s="29" t="s">
        <v>159</v>
      </c>
      <c r="Z143" s="76" t="s">
        <v>42</v>
      </c>
    </row>
    <row r="144" spans="1:26" ht="57" customHeight="1" x14ac:dyDescent="0.25">
      <c r="A144" s="17" t="s">
        <v>336</v>
      </c>
      <c r="B144" s="71">
        <v>80131502</v>
      </c>
      <c r="C144" s="72" t="s">
        <v>406</v>
      </c>
      <c r="D144" s="72"/>
      <c r="E144" s="20"/>
      <c r="F144" s="78"/>
      <c r="G144" s="79">
        <v>11.5</v>
      </c>
      <c r="H144" s="71" t="s">
        <v>31</v>
      </c>
      <c r="I144" s="72" t="s">
        <v>32</v>
      </c>
      <c r="J144" s="74" t="s">
        <v>375</v>
      </c>
      <c r="K144" s="41" t="s">
        <v>34</v>
      </c>
      <c r="L144" s="25">
        <f t="shared" si="5"/>
        <v>116256294</v>
      </c>
      <c r="M144" s="25">
        <f t="shared" si="4"/>
        <v>116256294</v>
      </c>
      <c r="N144" s="25">
        <v>116256294</v>
      </c>
      <c r="O144" s="25">
        <v>0</v>
      </c>
      <c r="P144" s="25"/>
      <c r="Q144" s="25"/>
      <c r="R144" s="28" t="s">
        <v>35</v>
      </c>
      <c r="S144" s="28" t="s">
        <v>36</v>
      </c>
      <c r="T144" s="28"/>
      <c r="U144" s="28" t="s">
        <v>340</v>
      </c>
      <c r="V144" s="28" t="s">
        <v>158</v>
      </c>
      <c r="W144" s="28" t="s">
        <v>39</v>
      </c>
      <c r="X144" s="28" t="s">
        <v>40</v>
      </c>
      <c r="Y144" s="29" t="s">
        <v>159</v>
      </c>
      <c r="Z144" s="76" t="s">
        <v>42</v>
      </c>
    </row>
    <row r="145" spans="1:26" ht="57" customHeight="1" x14ac:dyDescent="0.25">
      <c r="A145" s="17" t="s">
        <v>336</v>
      </c>
      <c r="B145" s="71">
        <v>80131502</v>
      </c>
      <c r="C145" s="72" t="s">
        <v>407</v>
      </c>
      <c r="D145" s="72"/>
      <c r="E145" s="20"/>
      <c r="F145" s="78"/>
      <c r="G145" s="79">
        <v>11.5</v>
      </c>
      <c r="H145" s="71" t="s">
        <v>31</v>
      </c>
      <c r="I145" s="72" t="s">
        <v>32</v>
      </c>
      <c r="J145" s="74" t="s">
        <v>375</v>
      </c>
      <c r="K145" s="41" t="s">
        <v>34</v>
      </c>
      <c r="L145" s="25">
        <f t="shared" si="5"/>
        <v>91852706</v>
      </c>
      <c r="M145" s="25">
        <f t="shared" si="4"/>
        <v>91852706</v>
      </c>
      <c r="N145" s="25">
        <v>91852706</v>
      </c>
      <c r="O145" s="25">
        <v>0</v>
      </c>
      <c r="P145" s="25"/>
      <c r="Q145" s="25"/>
      <c r="R145" s="28" t="s">
        <v>35</v>
      </c>
      <c r="S145" s="28" t="s">
        <v>36</v>
      </c>
      <c r="T145" s="28"/>
      <c r="U145" s="28" t="s">
        <v>340</v>
      </c>
      <c r="V145" s="28" t="s">
        <v>158</v>
      </c>
      <c r="W145" s="28" t="s">
        <v>39</v>
      </c>
      <c r="X145" s="28" t="s">
        <v>40</v>
      </c>
      <c r="Y145" s="29" t="s">
        <v>159</v>
      </c>
      <c r="Z145" s="76" t="s">
        <v>42</v>
      </c>
    </row>
    <row r="146" spans="1:26" ht="57" customHeight="1" x14ac:dyDescent="0.25">
      <c r="A146" s="17" t="s">
        <v>336</v>
      </c>
      <c r="B146" s="71">
        <v>80131502</v>
      </c>
      <c r="C146" s="72" t="s">
        <v>408</v>
      </c>
      <c r="D146" s="72"/>
      <c r="E146" s="20"/>
      <c r="F146" s="78"/>
      <c r="G146" s="79">
        <v>11.5</v>
      </c>
      <c r="H146" s="71" t="s">
        <v>31</v>
      </c>
      <c r="I146" s="72" t="s">
        <v>32</v>
      </c>
      <c r="J146" s="74" t="s">
        <v>375</v>
      </c>
      <c r="K146" s="41" t="s">
        <v>34</v>
      </c>
      <c r="L146" s="25">
        <f t="shared" si="5"/>
        <v>78324717</v>
      </c>
      <c r="M146" s="25">
        <f t="shared" si="4"/>
        <v>78324717</v>
      </c>
      <c r="N146" s="25">
        <v>78324717</v>
      </c>
      <c r="O146" s="25">
        <v>0</v>
      </c>
      <c r="P146" s="25"/>
      <c r="Q146" s="25"/>
      <c r="R146" s="28" t="s">
        <v>35</v>
      </c>
      <c r="S146" s="28" t="s">
        <v>36</v>
      </c>
      <c r="T146" s="28"/>
      <c r="U146" s="28" t="s">
        <v>340</v>
      </c>
      <c r="V146" s="28" t="s">
        <v>158</v>
      </c>
      <c r="W146" s="28" t="s">
        <v>39</v>
      </c>
      <c r="X146" s="28" t="s">
        <v>40</v>
      </c>
      <c r="Y146" s="29" t="s">
        <v>159</v>
      </c>
      <c r="Z146" s="76" t="s">
        <v>42</v>
      </c>
    </row>
    <row r="147" spans="1:26" ht="57" customHeight="1" x14ac:dyDescent="0.25">
      <c r="A147" s="17" t="s">
        <v>336</v>
      </c>
      <c r="B147" s="71">
        <v>80131502</v>
      </c>
      <c r="C147" s="72" t="s">
        <v>409</v>
      </c>
      <c r="D147" s="72"/>
      <c r="E147" s="20"/>
      <c r="F147" s="78"/>
      <c r="G147" s="79">
        <v>11.5</v>
      </c>
      <c r="H147" s="71" t="s">
        <v>31</v>
      </c>
      <c r="I147" s="72" t="s">
        <v>32</v>
      </c>
      <c r="J147" s="74" t="s">
        <v>375</v>
      </c>
      <c r="K147" s="41" t="s">
        <v>34</v>
      </c>
      <c r="L147" s="25">
        <f t="shared" si="5"/>
        <v>133943158</v>
      </c>
      <c r="M147" s="25">
        <f t="shared" si="4"/>
        <v>133943158</v>
      </c>
      <c r="N147" s="25">
        <v>133943158</v>
      </c>
      <c r="O147" s="25">
        <v>0</v>
      </c>
      <c r="P147" s="25"/>
      <c r="Q147" s="25"/>
      <c r="R147" s="28" t="s">
        <v>35</v>
      </c>
      <c r="S147" s="28" t="s">
        <v>36</v>
      </c>
      <c r="T147" s="28"/>
      <c r="U147" s="28" t="s">
        <v>340</v>
      </c>
      <c r="V147" s="28" t="s">
        <v>158</v>
      </c>
      <c r="W147" s="28" t="s">
        <v>39</v>
      </c>
      <c r="X147" s="28" t="s">
        <v>40</v>
      </c>
      <c r="Y147" s="29" t="s">
        <v>159</v>
      </c>
      <c r="Z147" s="76" t="s">
        <v>42</v>
      </c>
    </row>
    <row r="148" spans="1:26" ht="57" customHeight="1" x14ac:dyDescent="0.25">
      <c r="A148" s="17" t="s">
        <v>336</v>
      </c>
      <c r="B148" s="71">
        <v>80131502</v>
      </c>
      <c r="C148" s="72" t="s">
        <v>410</v>
      </c>
      <c r="D148" s="72"/>
      <c r="E148" s="20"/>
      <c r="F148" s="78"/>
      <c r="G148" s="79">
        <v>11.5</v>
      </c>
      <c r="H148" s="71" t="s">
        <v>31</v>
      </c>
      <c r="I148" s="72" t="s">
        <v>32</v>
      </c>
      <c r="J148" s="74" t="s">
        <v>375</v>
      </c>
      <c r="K148" s="41" t="s">
        <v>34</v>
      </c>
      <c r="L148" s="25">
        <f t="shared" si="5"/>
        <v>71894817</v>
      </c>
      <c r="M148" s="25">
        <f t="shared" si="4"/>
        <v>71894817</v>
      </c>
      <c r="N148" s="25">
        <v>71894817</v>
      </c>
      <c r="O148" s="25">
        <v>0</v>
      </c>
      <c r="P148" s="25"/>
      <c r="Q148" s="25"/>
      <c r="R148" s="28" t="s">
        <v>35</v>
      </c>
      <c r="S148" s="28" t="s">
        <v>36</v>
      </c>
      <c r="T148" s="28"/>
      <c r="U148" s="28" t="s">
        <v>340</v>
      </c>
      <c r="V148" s="28" t="s">
        <v>158</v>
      </c>
      <c r="W148" s="28" t="s">
        <v>39</v>
      </c>
      <c r="X148" s="28" t="s">
        <v>40</v>
      </c>
      <c r="Y148" s="29" t="s">
        <v>159</v>
      </c>
      <c r="Z148" s="76" t="s">
        <v>42</v>
      </c>
    </row>
    <row r="149" spans="1:26" ht="57" customHeight="1" x14ac:dyDescent="0.25">
      <c r="A149" s="17" t="s">
        <v>336</v>
      </c>
      <c r="B149" s="71">
        <v>80131502</v>
      </c>
      <c r="C149" s="72" t="s">
        <v>411</v>
      </c>
      <c r="D149" s="72"/>
      <c r="E149" s="20"/>
      <c r="F149" s="78"/>
      <c r="G149" s="79">
        <v>11.5</v>
      </c>
      <c r="H149" s="71" t="s">
        <v>31</v>
      </c>
      <c r="I149" s="72" t="s">
        <v>32</v>
      </c>
      <c r="J149" s="74" t="s">
        <v>375</v>
      </c>
      <c r="K149" s="41" t="s">
        <v>34</v>
      </c>
      <c r="L149" s="25">
        <f t="shared" si="5"/>
        <v>40343380</v>
      </c>
      <c r="M149" s="25">
        <f t="shared" si="4"/>
        <v>40343380</v>
      </c>
      <c r="N149" s="25">
        <v>40343380</v>
      </c>
      <c r="O149" s="25">
        <v>0</v>
      </c>
      <c r="P149" s="25"/>
      <c r="Q149" s="25"/>
      <c r="R149" s="28" t="s">
        <v>35</v>
      </c>
      <c r="S149" s="28" t="s">
        <v>36</v>
      </c>
      <c r="T149" s="28"/>
      <c r="U149" s="28" t="s">
        <v>340</v>
      </c>
      <c r="V149" s="28" t="s">
        <v>158</v>
      </c>
      <c r="W149" s="28" t="s">
        <v>39</v>
      </c>
      <c r="X149" s="28" t="s">
        <v>40</v>
      </c>
      <c r="Y149" s="29" t="s">
        <v>159</v>
      </c>
      <c r="Z149" s="76" t="s">
        <v>42</v>
      </c>
    </row>
    <row r="150" spans="1:26" ht="57" customHeight="1" x14ac:dyDescent="0.25">
      <c r="A150" s="17" t="s">
        <v>336</v>
      </c>
      <c r="B150" s="71">
        <v>80131502</v>
      </c>
      <c r="C150" s="72" t="s">
        <v>412</v>
      </c>
      <c r="D150" s="72"/>
      <c r="E150" s="20"/>
      <c r="F150" s="78"/>
      <c r="G150" s="79">
        <v>11.5</v>
      </c>
      <c r="H150" s="71" t="s">
        <v>31</v>
      </c>
      <c r="I150" s="72" t="s">
        <v>32</v>
      </c>
      <c r="J150" s="74" t="s">
        <v>375</v>
      </c>
      <c r="K150" s="41" t="s">
        <v>34</v>
      </c>
      <c r="L150" s="25">
        <f t="shared" si="5"/>
        <v>61563696</v>
      </c>
      <c r="M150" s="25">
        <f t="shared" si="4"/>
        <v>61563696</v>
      </c>
      <c r="N150" s="25">
        <v>61563696</v>
      </c>
      <c r="O150" s="25">
        <v>0</v>
      </c>
      <c r="P150" s="25"/>
      <c r="Q150" s="25"/>
      <c r="R150" s="28" t="s">
        <v>35</v>
      </c>
      <c r="S150" s="28" t="s">
        <v>36</v>
      </c>
      <c r="T150" s="28"/>
      <c r="U150" s="28" t="s">
        <v>340</v>
      </c>
      <c r="V150" s="28" t="s">
        <v>158</v>
      </c>
      <c r="W150" s="28" t="s">
        <v>39</v>
      </c>
      <c r="X150" s="28" t="s">
        <v>40</v>
      </c>
      <c r="Y150" s="29" t="s">
        <v>159</v>
      </c>
      <c r="Z150" s="76" t="s">
        <v>42</v>
      </c>
    </row>
    <row r="151" spans="1:26" ht="42.75" customHeight="1" x14ac:dyDescent="0.25">
      <c r="A151" s="17" t="s">
        <v>336</v>
      </c>
      <c r="B151" s="71">
        <v>80131502</v>
      </c>
      <c r="C151" s="19" t="s">
        <v>413</v>
      </c>
      <c r="D151" s="72"/>
      <c r="E151" s="20">
        <v>44022</v>
      </c>
      <c r="F151" s="78" t="s">
        <v>373</v>
      </c>
      <c r="G151" s="29">
        <v>15</v>
      </c>
      <c r="H151" s="71" t="s">
        <v>27</v>
      </c>
      <c r="I151" s="72" t="s">
        <v>115</v>
      </c>
      <c r="J151" s="74" t="s">
        <v>375</v>
      </c>
      <c r="K151" s="41" t="s">
        <v>34</v>
      </c>
      <c r="L151" s="25">
        <f t="shared" si="5"/>
        <v>3291602382.0666671</v>
      </c>
      <c r="M151" s="25">
        <f t="shared" si="4"/>
        <v>89565698</v>
      </c>
      <c r="N151" s="25">
        <f>111883560-40000000</f>
        <v>71883560</v>
      </c>
      <c r="O151" s="25">
        <f>24682138-7000000</f>
        <v>17682138</v>
      </c>
      <c r="P151" s="25">
        <f>2585800394+574656290.066667+41580000</f>
        <v>3202036684.0666671</v>
      </c>
      <c r="Q151" s="25"/>
      <c r="R151" s="28" t="s">
        <v>106</v>
      </c>
      <c r="S151" s="28" t="s">
        <v>162</v>
      </c>
      <c r="T151" s="28"/>
      <c r="U151" s="28" t="s">
        <v>340</v>
      </c>
      <c r="V151" s="28" t="s">
        <v>158</v>
      </c>
      <c r="W151" s="28" t="s">
        <v>39</v>
      </c>
      <c r="X151" s="28" t="s">
        <v>40</v>
      </c>
      <c r="Y151" s="29" t="s">
        <v>159</v>
      </c>
      <c r="Z151" s="76" t="s">
        <v>42</v>
      </c>
    </row>
    <row r="152" spans="1:26" ht="42.75" customHeight="1" x14ac:dyDescent="0.25">
      <c r="A152" s="17" t="s">
        <v>336</v>
      </c>
      <c r="B152" s="71">
        <v>72102900</v>
      </c>
      <c r="C152" s="72" t="s">
        <v>414</v>
      </c>
      <c r="D152" s="72"/>
      <c r="E152" s="20">
        <v>43896</v>
      </c>
      <c r="F152" s="82" t="s">
        <v>415</v>
      </c>
      <c r="G152" s="32">
        <v>6</v>
      </c>
      <c r="H152" s="41" t="s">
        <v>31</v>
      </c>
      <c r="I152" s="74" t="s">
        <v>64</v>
      </c>
      <c r="J152" s="74" t="s">
        <v>416</v>
      </c>
      <c r="K152" s="41" t="s">
        <v>417</v>
      </c>
      <c r="L152" s="25">
        <f t="shared" si="5"/>
        <v>126736662</v>
      </c>
      <c r="M152" s="25">
        <f>+O151+N152</f>
        <v>126736662</v>
      </c>
      <c r="N152" s="59">
        <f>84054524+3000000+22000000</f>
        <v>109054524</v>
      </c>
      <c r="O152" s="59">
        <v>33000000</v>
      </c>
      <c r="P152" s="25"/>
      <c r="Q152" s="25"/>
      <c r="R152" s="28" t="s">
        <v>35</v>
      </c>
      <c r="S152" s="28" t="s">
        <v>36</v>
      </c>
      <c r="T152" s="28" t="s">
        <v>66</v>
      </c>
      <c r="U152" s="28" t="s">
        <v>340</v>
      </c>
      <c r="V152" s="28" t="s">
        <v>158</v>
      </c>
      <c r="W152" s="28" t="s">
        <v>39</v>
      </c>
      <c r="X152" s="28" t="s">
        <v>40</v>
      </c>
      <c r="Y152" s="29" t="s">
        <v>159</v>
      </c>
      <c r="Z152" s="76" t="s">
        <v>42</v>
      </c>
    </row>
    <row r="153" spans="1:26" ht="57" customHeight="1" x14ac:dyDescent="0.25">
      <c r="A153" s="17" t="s">
        <v>336</v>
      </c>
      <c r="B153" s="71">
        <v>56101700</v>
      </c>
      <c r="C153" s="72" t="s">
        <v>418</v>
      </c>
      <c r="D153" s="72"/>
      <c r="E153" s="20">
        <v>43896</v>
      </c>
      <c r="F153" s="82" t="s">
        <v>415</v>
      </c>
      <c r="G153" s="32">
        <v>6</v>
      </c>
      <c r="H153" s="83" t="s">
        <v>31</v>
      </c>
      <c r="I153" s="74" t="s">
        <v>181</v>
      </c>
      <c r="J153" s="74" t="s">
        <v>419</v>
      </c>
      <c r="K153" s="41" t="s">
        <v>420</v>
      </c>
      <c r="L153" s="25">
        <f>+M153+P153+Q153</f>
        <v>41297106</v>
      </c>
      <c r="M153" s="25">
        <f t="shared" si="4"/>
        <v>41297106</v>
      </c>
      <c r="N153" s="25">
        <v>41297106</v>
      </c>
      <c r="O153" s="59"/>
      <c r="P153" s="38"/>
      <c r="Q153" s="25"/>
      <c r="R153" s="28" t="s">
        <v>35</v>
      </c>
      <c r="S153" s="28" t="s">
        <v>36</v>
      </c>
      <c r="T153" s="28" t="s">
        <v>90</v>
      </c>
      <c r="U153" s="28" t="s">
        <v>340</v>
      </c>
      <c r="V153" s="28" t="s">
        <v>158</v>
      </c>
      <c r="W153" s="28" t="s">
        <v>39</v>
      </c>
      <c r="X153" s="28" t="s">
        <v>40</v>
      </c>
      <c r="Y153" s="29" t="s">
        <v>159</v>
      </c>
      <c r="Z153" s="76" t="s">
        <v>42</v>
      </c>
    </row>
    <row r="154" spans="1:26" ht="42.75" customHeight="1" x14ac:dyDescent="0.25">
      <c r="A154" s="17" t="s">
        <v>336</v>
      </c>
      <c r="B154" s="71">
        <v>72102900</v>
      </c>
      <c r="C154" s="72" t="s">
        <v>421</v>
      </c>
      <c r="D154" s="72"/>
      <c r="E154" s="20">
        <v>43896</v>
      </c>
      <c r="F154" s="82" t="s">
        <v>415</v>
      </c>
      <c r="G154" s="32">
        <v>6</v>
      </c>
      <c r="H154" s="83" t="s">
        <v>31</v>
      </c>
      <c r="I154" s="74" t="s">
        <v>64</v>
      </c>
      <c r="J154" s="74" t="s">
        <v>422</v>
      </c>
      <c r="K154" s="41" t="s">
        <v>420</v>
      </c>
      <c r="L154" s="25">
        <f t="shared" si="5"/>
        <v>12918065</v>
      </c>
      <c r="M154" s="25">
        <f t="shared" si="4"/>
        <v>12918065</v>
      </c>
      <c r="N154" s="25">
        <v>12918065</v>
      </c>
      <c r="O154" s="59"/>
      <c r="P154" s="25"/>
      <c r="Q154" s="25"/>
      <c r="R154" s="28" t="s">
        <v>35</v>
      </c>
      <c r="S154" s="28" t="s">
        <v>36</v>
      </c>
      <c r="T154" s="28"/>
      <c r="U154" s="28" t="s">
        <v>340</v>
      </c>
      <c r="V154" s="28" t="s">
        <v>158</v>
      </c>
      <c r="W154" s="28" t="s">
        <v>39</v>
      </c>
      <c r="X154" s="28" t="s">
        <v>40</v>
      </c>
      <c r="Y154" s="29" t="s">
        <v>159</v>
      </c>
      <c r="Z154" s="76" t="s">
        <v>42</v>
      </c>
    </row>
    <row r="155" spans="1:26" ht="42.75" customHeight="1" x14ac:dyDescent="0.25">
      <c r="A155" s="17" t="s">
        <v>336</v>
      </c>
      <c r="B155" s="75" t="s">
        <v>423</v>
      </c>
      <c r="C155" s="72" t="s">
        <v>424</v>
      </c>
      <c r="D155" s="72"/>
      <c r="E155" s="20">
        <v>43924</v>
      </c>
      <c r="F155" s="49" t="s">
        <v>104</v>
      </c>
      <c r="G155" s="32">
        <v>2</v>
      </c>
      <c r="H155" s="83" t="s">
        <v>31</v>
      </c>
      <c r="I155" s="74" t="s">
        <v>211</v>
      </c>
      <c r="J155" s="74" t="s">
        <v>425</v>
      </c>
      <c r="K155" s="75" t="s">
        <v>426</v>
      </c>
      <c r="L155" s="25">
        <f t="shared" si="5"/>
        <v>44525600</v>
      </c>
      <c r="M155" s="25">
        <f t="shared" si="4"/>
        <v>44525600</v>
      </c>
      <c r="N155" s="108">
        <f>10000000+1523320+33002280</f>
        <v>44525600</v>
      </c>
      <c r="O155" s="25">
        <v>0</v>
      </c>
      <c r="P155" s="25"/>
      <c r="Q155" s="25"/>
      <c r="R155" s="28" t="s">
        <v>35</v>
      </c>
      <c r="S155" s="28" t="s">
        <v>36</v>
      </c>
      <c r="T155" s="28" t="s">
        <v>66</v>
      </c>
      <c r="U155" s="28" t="s">
        <v>340</v>
      </c>
      <c r="V155" s="28" t="s">
        <v>158</v>
      </c>
      <c r="W155" s="28" t="s">
        <v>39</v>
      </c>
      <c r="X155" s="28" t="s">
        <v>40</v>
      </c>
      <c r="Y155" s="29" t="s">
        <v>159</v>
      </c>
      <c r="Z155" s="76" t="s">
        <v>42</v>
      </c>
    </row>
    <row r="156" spans="1:26" ht="42.75" customHeight="1" x14ac:dyDescent="0.25">
      <c r="A156" s="17" t="s">
        <v>336</v>
      </c>
      <c r="B156" s="71" t="s">
        <v>427</v>
      </c>
      <c r="C156" s="72" t="s">
        <v>428</v>
      </c>
      <c r="D156" s="72"/>
      <c r="E156" s="20">
        <v>44012</v>
      </c>
      <c r="F156" s="49" t="s">
        <v>104</v>
      </c>
      <c r="G156" s="32">
        <v>2</v>
      </c>
      <c r="H156" s="83" t="s">
        <v>31</v>
      </c>
      <c r="I156" s="74" t="s">
        <v>211</v>
      </c>
      <c r="J156" s="74" t="s">
        <v>425</v>
      </c>
      <c r="K156" s="41" t="s">
        <v>256</v>
      </c>
      <c r="L156" s="25">
        <f t="shared" si="5"/>
        <v>61981270</v>
      </c>
      <c r="M156" s="25">
        <f t="shared" ref="M156:M175" si="6">+O156+N156</f>
        <v>61981270</v>
      </c>
      <c r="N156" s="108">
        <f>50000000+11981270</f>
        <v>61981270</v>
      </c>
      <c r="O156" s="25">
        <v>0</v>
      </c>
      <c r="P156" s="25"/>
      <c r="Q156" s="25"/>
      <c r="R156" s="28" t="s">
        <v>35</v>
      </c>
      <c r="S156" s="28" t="s">
        <v>36</v>
      </c>
      <c r="T156" s="28" t="s">
        <v>66</v>
      </c>
      <c r="U156" s="28" t="s">
        <v>340</v>
      </c>
      <c r="V156" s="28" t="s">
        <v>158</v>
      </c>
      <c r="W156" s="28" t="s">
        <v>39</v>
      </c>
      <c r="X156" s="28" t="s">
        <v>40</v>
      </c>
      <c r="Y156" s="29" t="s">
        <v>159</v>
      </c>
      <c r="Z156" s="76" t="s">
        <v>42</v>
      </c>
    </row>
    <row r="157" spans="1:26" ht="57.75" customHeight="1" x14ac:dyDescent="0.25">
      <c r="A157" s="17" t="s">
        <v>336</v>
      </c>
      <c r="B157" s="75" t="s">
        <v>429</v>
      </c>
      <c r="C157" s="72" t="s">
        <v>430</v>
      </c>
      <c r="D157" s="72"/>
      <c r="E157" s="20">
        <v>43896</v>
      </c>
      <c r="F157" s="82" t="s">
        <v>50</v>
      </c>
      <c r="G157" s="32">
        <v>6</v>
      </c>
      <c r="H157" s="83" t="s">
        <v>31</v>
      </c>
      <c r="I157" s="72" t="s">
        <v>181</v>
      </c>
      <c r="J157" s="74" t="s">
        <v>431</v>
      </c>
      <c r="K157" s="77" t="s">
        <v>34</v>
      </c>
      <c r="L157" s="25">
        <f t="shared" si="5"/>
        <v>112598574</v>
      </c>
      <c r="M157" s="25">
        <f t="shared" si="6"/>
        <v>112598574</v>
      </c>
      <c r="N157" s="108">
        <v>112598574</v>
      </c>
      <c r="O157" s="25">
        <v>0</v>
      </c>
      <c r="P157" s="25"/>
      <c r="Q157" s="25"/>
      <c r="R157" s="28" t="s">
        <v>35</v>
      </c>
      <c r="S157" s="28" t="s">
        <v>36</v>
      </c>
      <c r="T157" s="28" t="s">
        <v>66</v>
      </c>
      <c r="U157" s="28" t="s">
        <v>340</v>
      </c>
      <c r="V157" s="28" t="s">
        <v>158</v>
      </c>
      <c r="W157" s="28" t="s">
        <v>39</v>
      </c>
      <c r="X157" s="28" t="s">
        <v>40</v>
      </c>
      <c r="Y157" s="29" t="s">
        <v>159</v>
      </c>
      <c r="Z157" s="76" t="s">
        <v>42</v>
      </c>
    </row>
    <row r="158" spans="1:26" ht="42.75" customHeight="1" x14ac:dyDescent="0.25">
      <c r="A158" s="17" t="s">
        <v>336</v>
      </c>
      <c r="B158" s="71" t="s">
        <v>432</v>
      </c>
      <c r="C158" s="72" t="s">
        <v>433</v>
      </c>
      <c r="D158" s="72"/>
      <c r="E158" s="20">
        <v>43896</v>
      </c>
      <c r="F158" s="82" t="s">
        <v>50</v>
      </c>
      <c r="G158" s="32">
        <v>7</v>
      </c>
      <c r="H158" s="83" t="s">
        <v>31</v>
      </c>
      <c r="I158" s="74" t="s">
        <v>64</v>
      </c>
      <c r="J158" s="74" t="s">
        <v>434</v>
      </c>
      <c r="K158" s="41" t="s">
        <v>34</v>
      </c>
      <c r="L158" s="25">
        <f t="shared" si="5"/>
        <v>205981600</v>
      </c>
      <c r="M158" s="25">
        <f t="shared" si="6"/>
        <v>205981600</v>
      </c>
      <c r="N158" s="109">
        <f>131540968+57981600+5000000</f>
        <v>194522568</v>
      </c>
      <c r="O158" s="110">
        <v>11459032</v>
      </c>
      <c r="P158" s="25"/>
      <c r="Q158" s="25"/>
      <c r="R158" s="28" t="s">
        <v>35</v>
      </c>
      <c r="S158" s="28" t="s">
        <v>36</v>
      </c>
      <c r="T158" s="28" t="s">
        <v>66</v>
      </c>
      <c r="U158" s="28" t="s">
        <v>340</v>
      </c>
      <c r="V158" s="28" t="s">
        <v>158</v>
      </c>
      <c r="W158" s="28" t="s">
        <v>39</v>
      </c>
      <c r="X158" s="28" t="s">
        <v>40</v>
      </c>
      <c r="Y158" s="29" t="s">
        <v>159</v>
      </c>
      <c r="Z158" s="76" t="s">
        <v>42</v>
      </c>
    </row>
    <row r="159" spans="1:26" ht="42.75" customHeight="1" x14ac:dyDescent="0.25">
      <c r="A159" s="17" t="s">
        <v>336</v>
      </c>
      <c r="B159" s="71">
        <v>84131503</v>
      </c>
      <c r="C159" s="72" t="s">
        <v>435</v>
      </c>
      <c r="D159" s="72"/>
      <c r="E159" s="20"/>
      <c r="F159" s="34"/>
      <c r="G159" s="32"/>
      <c r="H159" s="84" t="s">
        <v>168</v>
      </c>
      <c r="I159" s="72"/>
      <c r="J159" s="74" t="s">
        <v>436</v>
      </c>
      <c r="K159" s="41" t="s">
        <v>437</v>
      </c>
      <c r="L159" s="25">
        <f>+M159+P159+Q159</f>
        <v>2316600</v>
      </c>
      <c r="M159" s="25">
        <f>+O159+N159</f>
        <v>2316600</v>
      </c>
      <c r="N159" s="111">
        <v>2316600</v>
      </c>
      <c r="O159" s="25"/>
      <c r="P159" s="25"/>
      <c r="Q159" s="25"/>
      <c r="R159" s="28" t="s">
        <v>35</v>
      </c>
      <c r="S159" s="28" t="s">
        <v>36</v>
      </c>
      <c r="T159" s="28" t="s">
        <v>90</v>
      </c>
      <c r="U159" s="28" t="s">
        <v>340</v>
      </c>
      <c r="V159" s="28" t="s">
        <v>158</v>
      </c>
      <c r="W159" s="28" t="s">
        <v>39</v>
      </c>
      <c r="X159" s="28" t="s">
        <v>40</v>
      </c>
      <c r="Y159" s="29" t="s">
        <v>159</v>
      </c>
      <c r="Z159" s="76" t="s">
        <v>42</v>
      </c>
    </row>
    <row r="160" spans="1:26" ht="83.5" customHeight="1" x14ac:dyDescent="0.25">
      <c r="A160" s="17" t="s">
        <v>336</v>
      </c>
      <c r="B160" s="71">
        <v>84131503</v>
      </c>
      <c r="C160" s="72" t="s">
        <v>438</v>
      </c>
      <c r="D160" s="72"/>
      <c r="E160" s="20">
        <v>43868</v>
      </c>
      <c r="F160" s="34" t="s">
        <v>75</v>
      </c>
      <c r="G160" s="32">
        <v>1798</v>
      </c>
      <c r="H160" s="84" t="s">
        <v>168</v>
      </c>
      <c r="I160" s="72" t="s">
        <v>132</v>
      </c>
      <c r="J160" s="74" t="s">
        <v>436</v>
      </c>
      <c r="K160" s="41" t="s">
        <v>437</v>
      </c>
      <c r="L160" s="25">
        <f t="shared" si="5"/>
        <v>785681371</v>
      </c>
      <c r="M160" s="25">
        <f t="shared" si="6"/>
        <v>785681371</v>
      </c>
      <c r="N160" s="111">
        <f>1255597858-92141008-60943295-316832184</f>
        <v>785681371</v>
      </c>
      <c r="O160" s="25"/>
      <c r="P160" s="25"/>
      <c r="Q160" s="25"/>
      <c r="R160" s="28" t="s">
        <v>35</v>
      </c>
      <c r="S160" s="28" t="s">
        <v>36</v>
      </c>
      <c r="T160" s="28" t="s">
        <v>90</v>
      </c>
      <c r="U160" s="28" t="s">
        <v>340</v>
      </c>
      <c r="V160" s="28" t="s">
        <v>158</v>
      </c>
      <c r="W160" s="28" t="s">
        <v>39</v>
      </c>
      <c r="X160" s="28" t="s">
        <v>40</v>
      </c>
      <c r="Y160" s="29" t="s">
        <v>159</v>
      </c>
      <c r="Z160" s="76" t="s">
        <v>42</v>
      </c>
    </row>
    <row r="161" spans="1:26" ht="42.75" customHeight="1" x14ac:dyDescent="0.25">
      <c r="A161" s="17" t="s">
        <v>336</v>
      </c>
      <c r="B161" s="71">
        <v>84131503</v>
      </c>
      <c r="C161" s="72" t="s">
        <v>439</v>
      </c>
      <c r="D161" s="72"/>
      <c r="E161" s="20"/>
      <c r="F161" s="34" t="s">
        <v>50</v>
      </c>
      <c r="G161" s="32">
        <v>1</v>
      </c>
      <c r="H161" s="84" t="s">
        <v>440</v>
      </c>
      <c r="I161" s="72" t="s">
        <v>161</v>
      </c>
      <c r="J161" s="74" t="s">
        <v>436</v>
      </c>
      <c r="K161" s="41" t="s">
        <v>437</v>
      </c>
      <c r="L161" s="25">
        <f>+M161+P161+Q161</f>
        <v>59152057</v>
      </c>
      <c r="M161" s="25">
        <f>+O161+N161</f>
        <v>59152057</v>
      </c>
      <c r="N161" s="111">
        <f>1255597858-1102513555-60943295-32988951</f>
        <v>59152057</v>
      </c>
      <c r="O161" s="25"/>
      <c r="P161" s="25"/>
      <c r="Q161" s="25"/>
      <c r="R161" s="28" t="s">
        <v>35</v>
      </c>
      <c r="S161" s="28" t="s">
        <v>36</v>
      </c>
      <c r="T161" s="28" t="s">
        <v>90</v>
      </c>
      <c r="U161" s="28" t="s">
        <v>340</v>
      </c>
      <c r="V161" s="28" t="s">
        <v>158</v>
      </c>
      <c r="W161" s="28" t="s">
        <v>39</v>
      </c>
      <c r="X161" s="28" t="s">
        <v>40</v>
      </c>
      <c r="Y161" s="29" t="s">
        <v>159</v>
      </c>
      <c r="Z161" s="76" t="s">
        <v>42</v>
      </c>
    </row>
    <row r="162" spans="1:26" ht="75" customHeight="1" x14ac:dyDescent="0.25">
      <c r="A162" s="17" t="s">
        <v>336</v>
      </c>
      <c r="B162" s="71">
        <v>84131503</v>
      </c>
      <c r="C162" s="72" t="s">
        <v>441</v>
      </c>
      <c r="D162" s="72"/>
      <c r="E162" s="20">
        <v>43868</v>
      </c>
      <c r="F162" s="34" t="s">
        <v>75</v>
      </c>
      <c r="G162" s="32">
        <v>1799</v>
      </c>
      <c r="H162" s="84" t="s">
        <v>168</v>
      </c>
      <c r="I162" s="72" t="s">
        <v>132</v>
      </c>
      <c r="J162" s="74" t="s">
        <v>436</v>
      </c>
      <c r="K162" s="41" t="s">
        <v>442</v>
      </c>
      <c r="L162" s="25">
        <f>+M162+P162+Q162</f>
        <v>15068059</v>
      </c>
      <c r="M162" s="25">
        <f t="shared" si="6"/>
        <v>15068059</v>
      </c>
      <c r="N162" s="111"/>
      <c r="O162" s="25">
        <v>15068059</v>
      </c>
      <c r="P162" s="25"/>
      <c r="Q162" s="25"/>
      <c r="R162" s="28" t="s">
        <v>35</v>
      </c>
      <c r="S162" s="28" t="s">
        <v>36</v>
      </c>
      <c r="T162" s="28" t="s">
        <v>90</v>
      </c>
      <c r="U162" s="28" t="s">
        <v>340</v>
      </c>
      <c r="V162" s="28" t="s">
        <v>158</v>
      </c>
      <c r="W162" s="28" t="s">
        <v>39</v>
      </c>
      <c r="X162" s="28" t="s">
        <v>40</v>
      </c>
      <c r="Y162" s="29" t="s">
        <v>171</v>
      </c>
      <c r="Z162" s="76" t="s">
        <v>42</v>
      </c>
    </row>
    <row r="163" spans="1:26" ht="42.75" customHeight="1" x14ac:dyDescent="0.25">
      <c r="A163" s="17" t="s">
        <v>336</v>
      </c>
      <c r="B163" s="71">
        <v>46182200</v>
      </c>
      <c r="C163" s="72" t="s">
        <v>443</v>
      </c>
      <c r="D163" s="72"/>
      <c r="E163" s="20">
        <v>43921</v>
      </c>
      <c r="F163" s="28" t="s">
        <v>50</v>
      </c>
      <c r="G163" s="32">
        <v>2</v>
      </c>
      <c r="H163" s="83" t="s">
        <v>31</v>
      </c>
      <c r="I163" s="74" t="s">
        <v>64</v>
      </c>
      <c r="J163" s="74" t="s">
        <v>425</v>
      </c>
      <c r="K163" s="41" t="s">
        <v>256</v>
      </c>
      <c r="L163" s="25">
        <f t="shared" si="5"/>
        <v>42050599</v>
      </c>
      <c r="M163" s="25">
        <f t="shared" si="6"/>
        <v>42050599</v>
      </c>
      <c r="N163" s="25">
        <f>34000000+8050599</f>
        <v>42050599</v>
      </c>
      <c r="O163" s="25"/>
      <c r="P163" s="25"/>
      <c r="Q163" s="25"/>
      <c r="R163" s="28" t="s">
        <v>35</v>
      </c>
      <c r="S163" s="28" t="s">
        <v>36</v>
      </c>
      <c r="T163" s="28" t="s">
        <v>66</v>
      </c>
      <c r="U163" s="28" t="s">
        <v>340</v>
      </c>
      <c r="V163" s="28" t="s">
        <v>158</v>
      </c>
      <c r="W163" s="28" t="s">
        <v>39</v>
      </c>
      <c r="X163" s="28" t="s">
        <v>40</v>
      </c>
      <c r="Y163" s="29" t="s">
        <v>159</v>
      </c>
      <c r="Z163" s="76" t="s">
        <v>42</v>
      </c>
    </row>
    <row r="164" spans="1:26" ht="42.75" customHeight="1" x14ac:dyDescent="0.25">
      <c r="A164" s="17" t="s">
        <v>336</v>
      </c>
      <c r="B164" s="71">
        <v>46191600</v>
      </c>
      <c r="C164" s="72" t="s">
        <v>444</v>
      </c>
      <c r="D164" s="72"/>
      <c r="E164" s="20">
        <v>43921</v>
      </c>
      <c r="F164" s="75" t="s">
        <v>50</v>
      </c>
      <c r="G164" s="32">
        <v>2</v>
      </c>
      <c r="H164" s="83" t="s">
        <v>31</v>
      </c>
      <c r="I164" s="74" t="s">
        <v>211</v>
      </c>
      <c r="J164" s="74" t="s">
        <v>425</v>
      </c>
      <c r="K164" s="41" t="s">
        <v>256</v>
      </c>
      <c r="L164" s="25">
        <f t="shared" si="5"/>
        <v>35216052</v>
      </c>
      <c r="M164" s="25">
        <f t="shared" si="6"/>
        <v>35216052</v>
      </c>
      <c r="N164" s="108">
        <f xml:space="preserve"> 26032052+9184000</f>
        <v>35216052</v>
      </c>
      <c r="O164" s="25"/>
      <c r="P164" s="25"/>
      <c r="Q164" s="25"/>
      <c r="R164" s="28" t="s">
        <v>35</v>
      </c>
      <c r="S164" s="28" t="s">
        <v>36</v>
      </c>
      <c r="T164" s="28" t="s">
        <v>66</v>
      </c>
      <c r="U164" s="28" t="s">
        <v>340</v>
      </c>
      <c r="V164" s="28" t="s">
        <v>158</v>
      </c>
      <c r="W164" s="28" t="s">
        <v>39</v>
      </c>
      <c r="X164" s="28" t="s">
        <v>40</v>
      </c>
      <c r="Y164" s="29" t="s">
        <v>159</v>
      </c>
      <c r="Z164" s="76" t="s">
        <v>42</v>
      </c>
    </row>
    <row r="165" spans="1:26" ht="42.75" customHeight="1" x14ac:dyDescent="0.25">
      <c r="A165" s="17" t="s">
        <v>336</v>
      </c>
      <c r="B165" s="18">
        <v>42192200</v>
      </c>
      <c r="C165" s="19" t="s">
        <v>445</v>
      </c>
      <c r="D165" s="19"/>
      <c r="E165" s="20">
        <v>43921</v>
      </c>
      <c r="F165" s="21" t="s">
        <v>30</v>
      </c>
      <c r="G165" s="29">
        <v>2</v>
      </c>
      <c r="H165" s="22" t="s">
        <v>31</v>
      </c>
      <c r="I165" s="19" t="s">
        <v>211</v>
      </c>
      <c r="J165" s="28" t="s">
        <v>425</v>
      </c>
      <c r="K165" s="23" t="s">
        <v>256</v>
      </c>
      <c r="L165" s="25">
        <f t="shared" si="5"/>
        <v>11205835</v>
      </c>
      <c r="M165" s="25">
        <f t="shared" si="6"/>
        <v>11205835</v>
      </c>
      <c r="N165" s="25">
        <f>8300000+2905835</f>
        <v>11205835</v>
      </c>
      <c r="O165" s="25">
        <v>0</v>
      </c>
      <c r="P165" s="25"/>
      <c r="Q165" s="25"/>
      <c r="R165" s="28" t="s">
        <v>35</v>
      </c>
      <c r="S165" s="28" t="s">
        <v>36</v>
      </c>
      <c r="T165" s="28" t="s">
        <v>66</v>
      </c>
      <c r="U165" s="28" t="s">
        <v>340</v>
      </c>
      <c r="V165" s="28" t="s">
        <v>158</v>
      </c>
      <c r="W165" s="28" t="s">
        <v>39</v>
      </c>
      <c r="X165" s="28" t="s">
        <v>40</v>
      </c>
      <c r="Y165" s="29" t="s">
        <v>159</v>
      </c>
      <c r="Z165" s="39" t="s">
        <v>42</v>
      </c>
    </row>
    <row r="166" spans="1:26" ht="91" customHeight="1" x14ac:dyDescent="0.25">
      <c r="A166" s="17" t="s">
        <v>336</v>
      </c>
      <c r="B166" s="18" t="s">
        <v>446</v>
      </c>
      <c r="C166" s="19" t="s">
        <v>447</v>
      </c>
      <c r="D166" s="19"/>
      <c r="E166" s="112">
        <v>43921</v>
      </c>
      <c r="F166" s="21" t="s">
        <v>185</v>
      </c>
      <c r="G166" s="32">
        <v>7</v>
      </c>
      <c r="H166" s="22" t="s">
        <v>31</v>
      </c>
      <c r="I166" s="19" t="s">
        <v>211</v>
      </c>
      <c r="J166" s="28" t="s">
        <v>448</v>
      </c>
      <c r="K166" s="23" t="s">
        <v>449</v>
      </c>
      <c r="L166" s="25">
        <f t="shared" si="5"/>
        <v>21000000</v>
      </c>
      <c r="M166" s="25">
        <f t="shared" si="6"/>
        <v>21000000</v>
      </c>
      <c r="N166" s="25">
        <f>10500000-6080852+5840896</f>
        <v>10260044</v>
      </c>
      <c r="O166" s="25">
        <f>9000000+1739956</f>
        <v>10739956</v>
      </c>
      <c r="P166" s="25"/>
      <c r="Q166" s="25"/>
      <c r="R166" s="28" t="s">
        <v>35</v>
      </c>
      <c r="S166" s="28" t="s">
        <v>36</v>
      </c>
      <c r="T166" s="28" t="s">
        <v>66</v>
      </c>
      <c r="U166" s="28" t="s">
        <v>340</v>
      </c>
      <c r="V166" s="28" t="s">
        <v>158</v>
      </c>
      <c r="W166" s="28" t="s">
        <v>39</v>
      </c>
      <c r="X166" s="28" t="s">
        <v>40</v>
      </c>
      <c r="Y166" s="29" t="s">
        <v>159</v>
      </c>
      <c r="Z166" s="39" t="s">
        <v>42</v>
      </c>
    </row>
    <row r="167" spans="1:26" ht="77.150000000000006" customHeight="1" x14ac:dyDescent="0.25">
      <c r="A167" s="17" t="s">
        <v>336</v>
      </c>
      <c r="B167" s="18">
        <v>30162303</v>
      </c>
      <c r="C167" s="19" t="s">
        <v>450</v>
      </c>
      <c r="D167" s="19"/>
      <c r="E167" s="20">
        <v>43917</v>
      </c>
      <c r="F167" s="21" t="s">
        <v>185</v>
      </c>
      <c r="G167" s="32">
        <v>2</v>
      </c>
      <c r="H167" s="40" t="s">
        <v>31</v>
      </c>
      <c r="I167" s="19" t="s">
        <v>211</v>
      </c>
      <c r="J167" s="28" t="s">
        <v>451</v>
      </c>
      <c r="K167" s="23" t="s">
        <v>452</v>
      </c>
      <c r="L167" s="25">
        <f t="shared" si="5"/>
        <v>6080852</v>
      </c>
      <c r="M167" s="25">
        <f t="shared" si="6"/>
        <v>6080852</v>
      </c>
      <c r="N167" s="25">
        <v>6080852</v>
      </c>
      <c r="O167" s="25">
        <f>9000000-9000000</f>
        <v>0</v>
      </c>
      <c r="P167" s="25"/>
      <c r="Q167" s="25"/>
      <c r="R167" s="28" t="s">
        <v>35</v>
      </c>
      <c r="S167" s="28" t="s">
        <v>36</v>
      </c>
      <c r="T167" s="28" t="s">
        <v>66</v>
      </c>
      <c r="U167" s="28" t="s">
        <v>340</v>
      </c>
      <c r="V167" s="28" t="s">
        <v>158</v>
      </c>
      <c r="W167" s="28" t="s">
        <v>39</v>
      </c>
      <c r="X167" s="28" t="s">
        <v>40</v>
      </c>
      <c r="Y167" s="29" t="s">
        <v>159</v>
      </c>
      <c r="Z167" s="39" t="s">
        <v>42</v>
      </c>
    </row>
    <row r="168" spans="1:26" ht="99.75" customHeight="1" x14ac:dyDescent="0.25">
      <c r="A168" s="17" t="s">
        <v>453</v>
      </c>
      <c r="B168" s="23">
        <v>82101500</v>
      </c>
      <c r="C168" s="19" t="s">
        <v>454</v>
      </c>
      <c r="D168" s="19"/>
      <c r="E168" s="20">
        <v>43868</v>
      </c>
      <c r="F168" s="85" t="s">
        <v>81</v>
      </c>
      <c r="G168" s="85" t="s">
        <v>455</v>
      </c>
      <c r="H168" s="85" t="s">
        <v>31</v>
      </c>
      <c r="I168" s="19" t="s">
        <v>32</v>
      </c>
      <c r="J168" s="23" t="s">
        <v>456</v>
      </c>
      <c r="K168" s="41" t="s">
        <v>256</v>
      </c>
      <c r="L168" s="25">
        <f t="shared" si="5"/>
        <v>200000000</v>
      </c>
      <c r="M168" s="25">
        <f t="shared" si="6"/>
        <v>200000000</v>
      </c>
      <c r="N168" s="25">
        <f>192050000+7950000</f>
        <v>200000000</v>
      </c>
      <c r="O168" s="25">
        <v>0</v>
      </c>
      <c r="P168" s="25"/>
      <c r="Q168" s="25"/>
      <c r="R168" s="28" t="s">
        <v>35</v>
      </c>
      <c r="S168" s="28" t="s">
        <v>36</v>
      </c>
      <c r="T168" s="28" t="s">
        <v>90</v>
      </c>
      <c r="U168" s="28" t="s">
        <v>457</v>
      </c>
      <c r="V168" s="28" t="s">
        <v>158</v>
      </c>
      <c r="W168" s="28" t="s">
        <v>39</v>
      </c>
      <c r="X168" s="28" t="s">
        <v>40</v>
      </c>
      <c r="Y168" s="29" t="s">
        <v>159</v>
      </c>
      <c r="Z168" s="39" t="s">
        <v>42</v>
      </c>
    </row>
    <row r="169" spans="1:26" ht="128.25" customHeight="1" x14ac:dyDescent="0.25">
      <c r="A169" s="17" t="s">
        <v>453</v>
      </c>
      <c r="B169" s="23" t="s">
        <v>458</v>
      </c>
      <c r="C169" s="19" t="s">
        <v>459</v>
      </c>
      <c r="D169" s="19"/>
      <c r="E169" s="20">
        <v>43854</v>
      </c>
      <c r="F169" s="85" t="s">
        <v>75</v>
      </c>
      <c r="G169" s="85" t="s">
        <v>460</v>
      </c>
      <c r="H169" s="85" t="s">
        <v>31</v>
      </c>
      <c r="I169" s="19" t="s">
        <v>132</v>
      </c>
      <c r="J169" s="23" t="s">
        <v>461</v>
      </c>
      <c r="K169" s="41" t="s">
        <v>34</v>
      </c>
      <c r="L169" s="25">
        <f t="shared" si="5"/>
        <v>2000000000</v>
      </c>
      <c r="M169" s="25">
        <f t="shared" si="6"/>
        <v>2000000000</v>
      </c>
      <c r="N169" s="25">
        <v>2000000000</v>
      </c>
      <c r="O169" s="25">
        <v>0</v>
      </c>
      <c r="P169" s="25"/>
      <c r="Q169" s="25"/>
      <c r="R169" s="28" t="s">
        <v>35</v>
      </c>
      <c r="S169" s="28" t="s">
        <v>36</v>
      </c>
      <c r="T169" s="28" t="s">
        <v>66</v>
      </c>
      <c r="U169" s="28" t="s">
        <v>457</v>
      </c>
      <c r="V169" s="28" t="s">
        <v>158</v>
      </c>
      <c r="W169" s="28" t="s">
        <v>39</v>
      </c>
      <c r="X169" s="28" t="s">
        <v>40</v>
      </c>
      <c r="Y169" s="29" t="s">
        <v>159</v>
      </c>
      <c r="Z169" s="39" t="s">
        <v>42</v>
      </c>
    </row>
    <row r="170" spans="1:26" ht="71.25" customHeight="1" x14ac:dyDescent="0.25">
      <c r="A170" s="17" t="s">
        <v>453</v>
      </c>
      <c r="B170" s="23">
        <v>83121700</v>
      </c>
      <c r="C170" s="19" t="s">
        <v>462</v>
      </c>
      <c r="D170" s="19"/>
      <c r="E170" s="20">
        <v>43854</v>
      </c>
      <c r="F170" s="85" t="s">
        <v>50</v>
      </c>
      <c r="G170" s="85" t="s">
        <v>463</v>
      </c>
      <c r="H170" s="85" t="s">
        <v>31</v>
      </c>
      <c r="I170" s="19" t="s">
        <v>64</v>
      </c>
      <c r="J170" s="23" t="s">
        <v>461</v>
      </c>
      <c r="K170" s="41" t="s">
        <v>34</v>
      </c>
      <c r="L170" s="25">
        <f t="shared" si="5"/>
        <v>42677367</v>
      </c>
      <c r="M170" s="25">
        <f t="shared" si="6"/>
        <v>42677367</v>
      </c>
      <c r="N170" s="25">
        <f>86000000-43322633</f>
        <v>42677367</v>
      </c>
      <c r="O170" s="25">
        <v>0</v>
      </c>
      <c r="P170" s="25"/>
      <c r="Q170" s="25"/>
      <c r="R170" s="28" t="s">
        <v>35</v>
      </c>
      <c r="S170" s="28" t="s">
        <v>36</v>
      </c>
      <c r="T170" s="28" t="s">
        <v>90</v>
      </c>
      <c r="U170" s="28" t="s">
        <v>457</v>
      </c>
      <c r="V170" s="28" t="s">
        <v>158</v>
      </c>
      <c r="W170" s="28" t="s">
        <v>39</v>
      </c>
      <c r="X170" s="28" t="s">
        <v>40</v>
      </c>
      <c r="Y170" s="29" t="s">
        <v>159</v>
      </c>
      <c r="Z170" s="39" t="s">
        <v>42</v>
      </c>
    </row>
    <row r="171" spans="1:26" ht="85.5" customHeight="1" x14ac:dyDescent="0.25">
      <c r="A171" s="17" t="s">
        <v>453</v>
      </c>
      <c r="B171" s="23" t="s">
        <v>464</v>
      </c>
      <c r="C171" s="19" t="s">
        <v>131</v>
      </c>
      <c r="D171" s="19"/>
      <c r="E171" s="20">
        <v>43889</v>
      </c>
      <c r="F171" s="34" t="s">
        <v>50</v>
      </c>
      <c r="G171" s="35">
        <v>8</v>
      </c>
      <c r="H171" s="28" t="s">
        <v>31</v>
      </c>
      <c r="I171" s="19" t="s">
        <v>132</v>
      </c>
      <c r="J171" s="23" t="s">
        <v>465</v>
      </c>
      <c r="K171" s="41" t="s">
        <v>34</v>
      </c>
      <c r="L171" s="25">
        <f t="shared" si="5"/>
        <v>125000000</v>
      </c>
      <c r="M171" s="25">
        <f t="shared" si="6"/>
        <v>125000000</v>
      </c>
      <c r="N171" s="25">
        <v>125000000</v>
      </c>
      <c r="O171" s="25">
        <v>0</v>
      </c>
      <c r="P171" s="25"/>
      <c r="Q171" s="25"/>
      <c r="R171" s="28" t="s">
        <v>35</v>
      </c>
      <c r="S171" s="28" t="s">
        <v>36</v>
      </c>
      <c r="T171" s="28" t="s">
        <v>66</v>
      </c>
      <c r="U171" s="28" t="s">
        <v>457</v>
      </c>
      <c r="V171" s="28" t="s">
        <v>158</v>
      </c>
      <c r="W171" s="28" t="s">
        <v>39</v>
      </c>
      <c r="X171" s="28" t="s">
        <v>40</v>
      </c>
      <c r="Y171" s="29" t="s">
        <v>159</v>
      </c>
      <c r="Z171" s="39" t="s">
        <v>42</v>
      </c>
    </row>
    <row r="172" spans="1:26" ht="57" customHeight="1" x14ac:dyDescent="0.25">
      <c r="A172" s="17" t="s">
        <v>466</v>
      </c>
      <c r="B172" s="18">
        <v>82111902</v>
      </c>
      <c r="C172" s="19" t="s">
        <v>467</v>
      </c>
      <c r="D172" s="19"/>
      <c r="E172" s="20">
        <v>44012</v>
      </c>
      <c r="F172" s="21" t="s">
        <v>198</v>
      </c>
      <c r="G172" s="32">
        <v>1</v>
      </c>
      <c r="H172" s="40" t="s">
        <v>31</v>
      </c>
      <c r="I172" s="19" t="s">
        <v>64</v>
      </c>
      <c r="J172" s="28" t="s">
        <v>468</v>
      </c>
      <c r="K172" s="23" t="s">
        <v>256</v>
      </c>
      <c r="L172" s="25">
        <f t="shared" si="5"/>
        <v>2121800</v>
      </c>
      <c r="M172" s="25">
        <f t="shared" si="6"/>
        <v>2121800</v>
      </c>
      <c r="N172" s="25">
        <v>2121800</v>
      </c>
      <c r="O172" s="25">
        <v>0</v>
      </c>
      <c r="P172" s="25"/>
      <c r="Q172" s="25"/>
      <c r="R172" s="28" t="s">
        <v>35</v>
      </c>
      <c r="S172" s="28" t="s">
        <v>36</v>
      </c>
      <c r="T172" s="28"/>
      <c r="U172" s="28" t="s">
        <v>469</v>
      </c>
      <c r="V172" s="28" t="s">
        <v>158</v>
      </c>
      <c r="W172" s="28" t="s">
        <v>470</v>
      </c>
      <c r="X172" s="28" t="s">
        <v>40</v>
      </c>
      <c r="Y172" s="29" t="s">
        <v>471</v>
      </c>
      <c r="Z172" s="39" t="s">
        <v>42</v>
      </c>
    </row>
    <row r="173" spans="1:26" ht="57" customHeight="1" x14ac:dyDescent="0.25">
      <c r="A173" s="17" t="s">
        <v>466</v>
      </c>
      <c r="B173" s="18">
        <v>86101705</v>
      </c>
      <c r="C173" s="19" t="s">
        <v>131</v>
      </c>
      <c r="D173" s="19"/>
      <c r="E173" s="20">
        <v>43889</v>
      </c>
      <c r="F173" s="34" t="s">
        <v>50</v>
      </c>
      <c r="G173" s="35">
        <v>8</v>
      </c>
      <c r="H173" s="28" t="s">
        <v>31</v>
      </c>
      <c r="I173" s="19" t="s">
        <v>132</v>
      </c>
      <c r="J173" s="28" t="s">
        <v>472</v>
      </c>
      <c r="K173" s="23" t="s">
        <v>34</v>
      </c>
      <c r="L173" s="25">
        <f t="shared" si="5"/>
        <v>65000000</v>
      </c>
      <c r="M173" s="25">
        <f t="shared" si="6"/>
        <v>65000000</v>
      </c>
      <c r="N173" s="25">
        <v>65000000</v>
      </c>
      <c r="O173" s="25">
        <v>0</v>
      </c>
      <c r="P173" s="25"/>
      <c r="Q173" s="25"/>
      <c r="R173" s="28" t="s">
        <v>35</v>
      </c>
      <c r="S173" s="28" t="s">
        <v>36</v>
      </c>
      <c r="T173" s="28" t="s">
        <v>66</v>
      </c>
      <c r="U173" s="28" t="s">
        <v>469</v>
      </c>
      <c r="V173" s="28" t="s">
        <v>158</v>
      </c>
      <c r="W173" s="28" t="s">
        <v>470</v>
      </c>
      <c r="X173" s="28" t="s">
        <v>40</v>
      </c>
      <c r="Y173" s="29" t="s">
        <v>471</v>
      </c>
      <c r="Z173" s="39" t="s">
        <v>42</v>
      </c>
    </row>
    <row r="174" spans="1:26" ht="85.5" customHeight="1" x14ac:dyDescent="0.25">
      <c r="A174" s="17" t="s">
        <v>466</v>
      </c>
      <c r="B174" s="18">
        <v>80120000</v>
      </c>
      <c r="C174" s="19" t="s">
        <v>473</v>
      </c>
      <c r="D174" s="19"/>
      <c r="E174" s="20">
        <v>43889</v>
      </c>
      <c r="F174" s="28" t="s">
        <v>81</v>
      </c>
      <c r="G174" s="32">
        <v>6</v>
      </c>
      <c r="H174" s="22" t="s">
        <v>31</v>
      </c>
      <c r="I174" s="19" t="s">
        <v>32</v>
      </c>
      <c r="J174" s="28" t="s">
        <v>474</v>
      </c>
      <c r="K174" s="23" t="s">
        <v>34</v>
      </c>
      <c r="L174" s="25">
        <f t="shared" si="5"/>
        <v>76365120</v>
      </c>
      <c r="M174" s="25">
        <f t="shared" si="6"/>
        <v>76365120</v>
      </c>
      <c r="N174" s="25">
        <v>76365120</v>
      </c>
      <c r="O174" s="25">
        <v>0</v>
      </c>
      <c r="P174" s="25"/>
      <c r="Q174" s="25"/>
      <c r="R174" s="28" t="s">
        <v>35</v>
      </c>
      <c r="S174" s="28" t="s">
        <v>36</v>
      </c>
      <c r="T174" s="28" t="s">
        <v>90</v>
      </c>
      <c r="U174" s="28" t="s">
        <v>469</v>
      </c>
      <c r="V174" s="28" t="s">
        <v>158</v>
      </c>
      <c r="W174" s="28" t="s">
        <v>470</v>
      </c>
      <c r="X174" s="28" t="s">
        <v>40</v>
      </c>
      <c r="Y174" s="29" t="s">
        <v>471</v>
      </c>
      <c r="Z174" s="39" t="s">
        <v>42</v>
      </c>
    </row>
    <row r="175" spans="1:26" ht="21.5" customHeight="1" x14ac:dyDescent="0.3">
      <c r="A175" s="113" t="s">
        <v>475</v>
      </c>
      <c r="B175" s="114" t="s">
        <v>476</v>
      </c>
      <c r="C175" s="115" t="s">
        <v>131</v>
      </c>
      <c r="D175" s="115"/>
      <c r="E175" s="116">
        <v>43889</v>
      </c>
      <c r="F175" s="117" t="s">
        <v>50</v>
      </c>
      <c r="G175" s="118">
        <v>8</v>
      </c>
      <c r="H175" s="119" t="s">
        <v>31</v>
      </c>
      <c r="I175" s="115" t="s">
        <v>132</v>
      </c>
      <c r="J175" s="120" t="s">
        <v>477</v>
      </c>
      <c r="K175" s="121" t="s">
        <v>478</v>
      </c>
      <c r="L175" s="122">
        <f t="shared" si="5"/>
        <v>131021150</v>
      </c>
      <c r="M175" s="122">
        <f t="shared" si="6"/>
        <v>131021150</v>
      </c>
      <c r="N175" s="122">
        <f>77976150+53045000</f>
        <v>131021150</v>
      </c>
      <c r="O175" s="122"/>
      <c r="P175" s="122"/>
      <c r="Q175" s="122"/>
      <c r="R175" s="119" t="s">
        <v>35</v>
      </c>
      <c r="S175" s="119" t="s">
        <v>36</v>
      </c>
      <c r="T175" s="119" t="s">
        <v>66</v>
      </c>
      <c r="U175" s="119" t="s">
        <v>479</v>
      </c>
      <c r="V175" s="119" t="s">
        <v>480</v>
      </c>
      <c r="W175" s="119" t="s">
        <v>481</v>
      </c>
      <c r="X175" s="119" t="s">
        <v>40</v>
      </c>
      <c r="Y175" s="123" t="s">
        <v>159</v>
      </c>
      <c r="Z175" s="124" t="s">
        <v>42</v>
      </c>
    </row>
    <row r="176" spans="1:26" x14ac:dyDescent="0.25">
      <c r="A176" s="86"/>
      <c r="B176" s="87"/>
      <c r="C176" s="88"/>
      <c r="D176" s="87"/>
      <c r="E176" s="87"/>
      <c r="F176" s="87"/>
      <c r="G176" s="87"/>
      <c r="H176" s="87"/>
      <c r="I176" s="87"/>
      <c r="J176" s="88"/>
      <c r="K176" s="89">
        <f>SUM(K6:K175)</f>
        <v>0</v>
      </c>
      <c r="L176" s="89"/>
      <c r="M176" s="90">
        <f>SUM(M6:M175)</f>
        <v>135932305963.70184</v>
      </c>
      <c r="N176" s="90">
        <f>SUM(N6:N175)</f>
        <v>54959252255.15184</v>
      </c>
      <c r="O176" s="90">
        <f>SUM(O6:O175)</f>
        <v>80988371570.550003</v>
      </c>
      <c r="P176" s="90">
        <f>SUM(P6:P175)</f>
        <v>37320819391.066666</v>
      </c>
      <c r="Q176" s="87"/>
      <c r="R176" s="88"/>
      <c r="S176" s="88"/>
      <c r="T176" s="88"/>
      <c r="U176" s="87"/>
      <c r="V176" s="88"/>
      <c r="W176" s="88"/>
      <c r="X176" s="87"/>
      <c r="Y176" s="88"/>
      <c r="Z176" s="91"/>
    </row>
    <row r="177" spans="1:26" x14ac:dyDescent="0.25">
      <c r="A177" s="86"/>
      <c r="B177" s="87"/>
      <c r="C177" s="88"/>
      <c r="D177" s="87"/>
      <c r="E177" s="87"/>
      <c r="F177" s="87"/>
      <c r="G177" s="87"/>
      <c r="H177" s="87"/>
      <c r="I177" s="87"/>
      <c r="J177" s="88"/>
      <c r="K177" s="89"/>
      <c r="L177" s="89"/>
      <c r="M177" s="88"/>
      <c r="N177" s="88"/>
      <c r="O177" s="87"/>
      <c r="P177" s="87"/>
      <c r="Q177" s="87"/>
      <c r="R177" s="88"/>
      <c r="S177" s="88"/>
      <c r="T177" s="88"/>
      <c r="U177" s="87"/>
      <c r="V177" s="88"/>
      <c r="W177" s="88"/>
      <c r="X177" s="87"/>
      <c r="Y177" s="88"/>
      <c r="Z177" s="91"/>
    </row>
    <row r="178" spans="1:26" ht="14.5" x14ac:dyDescent="0.25">
      <c r="A178" s="86"/>
      <c r="B178" s="87"/>
      <c r="C178" s="92"/>
      <c r="D178" s="87"/>
      <c r="E178" s="87"/>
      <c r="F178" s="87"/>
      <c r="G178" s="87"/>
      <c r="H178" s="87"/>
      <c r="I178" s="87"/>
      <c r="J178" s="88"/>
      <c r="K178" s="89"/>
      <c r="L178" s="89"/>
      <c r="M178" s="88"/>
      <c r="N178" s="93">
        <v>865194920</v>
      </c>
      <c r="O178" s="94"/>
      <c r="P178" s="87"/>
      <c r="Q178" s="87"/>
      <c r="R178" s="88"/>
      <c r="S178" s="88"/>
      <c r="T178" s="88"/>
      <c r="U178" s="87"/>
      <c r="V178" s="88"/>
      <c r="W178" s="88"/>
      <c r="X178" s="87"/>
      <c r="Y178" s="88"/>
      <c r="Z178" s="91"/>
    </row>
    <row r="179" spans="1:26" x14ac:dyDescent="0.25">
      <c r="A179" s="86"/>
      <c r="B179" s="87"/>
      <c r="C179" s="88"/>
      <c r="D179" s="87"/>
      <c r="E179" s="87"/>
      <c r="F179" s="87"/>
      <c r="G179" s="87"/>
      <c r="H179" s="87"/>
      <c r="I179" s="87"/>
      <c r="J179" s="88"/>
      <c r="K179" s="89"/>
      <c r="L179" s="89"/>
      <c r="M179" s="88"/>
      <c r="N179" s="95">
        <f>N178-N19</f>
        <v>559119960</v>
      </c>
      <c r="O179" s="87"/>
      <c r="P179" s="87"/>
      <c r="Q179" s="87"/>
      <c r="R179" s="88"/>
      <c r="S179" s="88"/>
      <c r="T179" s="88"/>
      <c r="U179" s="87"/>
      <c r="V179" s="88"/>
      <c r="W179" s="88"/>
      <c r="X179" s="87"/>
      <c r="Y179" s="88"/>
      <c r="Z179" s="91"/>
    </row>
    <row r="180" spans="1:26" ht="13" x14ac:dyDescent="0.3">
      <c r="A180" s="86"/>
      <c r="B180" s="87"/>
      <c r="C180" s="88"/>
      <c r="D180" s="87"/>
      <c r="E180" s="87"/>
      <c r="F180" s="87"/>
      <c r="G180" s="87"/>
      <c r="H180" s="87"/>
      <c r="I180" s="87"/>
      <c r="J180" s="88"/>
      <c r="K180" s="89"/>
      <c r="L180" s="89"/>
      <c r="M180" s="88"/>
      <c r="N180" s="96"/>
      <c r="O180" s="94"/>
      <c r="P180" s="87"/>
      <c r="Q180" s="87"/>
      <c r="R180" s="88"/>
      <c r="S180" s="88"/>
      <c r="T180" s="88"/>
      <c r="U180" s="87"/>
      <c r="V180" s="88"/>
      <c r="W180" s="88"/>
      <c r="X180" s="87"/>
      <c r="Y180" s="88"/>
      <c r="Z180" s="91"/>
    </row>
    <row r="181" spans="1:26" x14ac:dyDescent="0.25">
      <c r="A181" s="86"/>
      <c r="B181" s="87"/>
      <c r="C181" s="88"/>
      <c r="D181" s="87"/>
      <c r="E181" s="87"/>
      <c r="F181" s="87"/>
      <c r="G181" s="87"/>
      <c r="H181" s="87"/>
      <c r="I181" s="87"/>
      <c r="J181" s="88"/>
      <c r="K181" s="89"/>
      <c r="L181" s="89"/>
      <c r="M181" s="88"/>
      <c r="N181" s="88"/>
      <c r="O181" s="87"/>
      <c r="P181" s="87"/>
      <c r="Q181" s="87"/>
      <c r="R181" s="88"/>
      <c r="S181" s="88"/>
      <c r="T181" s="88"/>
      <c r="U181" s="87"/>
      <c r="V181" s="88"/>
      <c r="W181" s="88"/>
      <c r="X181" s="87"/>
      <c r="Y181" s="88"/>
      <c r="Z181" s="91"/>
    </row>
    <row r="182" spans="1:26" x14ac:dyDescent="0.25">
      <c r="A182" s="86"/>
      <c r="B182" s="87"/>
      <c r="C182" s="88"/>
      <c r="D182" s="87"/>
      <c r="E182" s="87"/>
      <c r="F182" s="87"/>
      <c r="G182" s="87"/>
      <c r="H182" s="87"/>
      <c r="I182" s="87"/>
      <c r="J182" s="88"/>
      <c r="K182" s="89"/>
      <c r="L182" s="89"/>
      <c r="M182" s="88"/>
      <c r="N182" s="97"/>
      <c r="O182" s="87"/>
      <c r="P182" s="87"/>
      <c r="Q182" s="87"/>
      <c r="R182" s="88"/>
      <c r="S182" s="88"/>
      <c r="T182" s="88"/>
      <c r="U182" s="87"/>
      <c r="V182" s="88"/>
      <c r="W182" s="88"/>
      <c r="X182" s="87"/>
      <c r="Y182" s="88"/>
      <c r="Z182" s="91"/>
    </row>
    <row r="183" spans="1:26" x14ac:dyDescent="0.25">
      <c r="A183" s="86"/>
      <c r="B183" s="87"/>
      <c r="C183" s="88"/>
      <c r="D183" s="87"/>
      <c r="E183" s="87"/>
      <c r="F183" s="87"/>
      <c r="G183" s="87"/>
      <c r="H183" s="87"/>
      <c r="I183" s="87"/>
      <c r="J183" s="88"/>
      <c r="K183" s="89"/>
      <c r="L183" s="89"/>
      <c r="M183" s="88"/>
      <c r="N183" s="88"/>
      <c r="O183" s="87"/>
      <c r="P183" s="87"/>
      <c r="Q183" s="87"/>
      <c r="R183" s="88"/>
      <c r="S183" s="88"/>
      <c r="T183" s="88"/>
      <c r="U183" s="87"/>
      <c r="V183" s="88"/>
      <c r="W183" s="88"/>
      <c r="X183" s="87"/>
      <c r="Y183" s="88"/>
      <c r="Z183" s="91"/>
    </row>
    <row r="184" spans="1:26" x14ac:dyDescent="0.25">
      <c r="A184" s="86"/>
      <c r="B184" s="87"/>
      <c r="C184" s="88"/>
      <c r="D184" s="87"/>
      <c r="E184" s="87"/>
      <c r="F184" s="87"/>
      <c r="G184" s="87"/>
      <c r="H184" s="87"/>
      <c r="I184" s="87"/>
      <c r="J184" s="88"/>
      <c r="K184" s="89"/>
      <c r="L184" s="89"/>
      <c r="M184" s="88"/>
      <c r="N184" s="88"/>
      <c r="O184" s="87"/>
      <c r="P184" s="87"/>
      <c r="Q184" s="87"/>
      <c r="R184" s="88"/>
      <c r="S184" s="88"/>
      <c r="T184" s="88"/>
      <c r="U184" s="87"/>
      <c r="V184" s="88"/>
      <c r="W184" s="88"/>
      <c r="X184" s="87"/>
      <c r="Y184" s="88"/>
      <c r="Z184" s="91"/>
    </row>
    <row r="185" spans="1:26" x14ac:dyDescent="0.25">
      <c r="A185" s="86"/>
      <c r="B185" s="87"/>
      <c r="C185" s="88"/>
      <c r="D185" s="87"/>
      <c r="E185" s="87"/>
      <c r="F185" s="87"/>
      <c r="G185" s="87"/>
      <c r="H185" s="87"/>
      <c r="I185" s="87"/>
      <c r="J185" s="88"/>
      <c r="K185" s="89"/>
      <c r="L185" s="89"/>
      <c r="M185" s="88"/>
      <c r="N185" s="88"/>
      <c r="O185" s="87"/>
      <c r="P185" s="87"/>
      <c r="Q185" s="87"/>
      <c r="R185" s="88"/>
      <c r="S185" s="88"/>
      <c r="T185" s="88"/>
      <c r="U185" s="87"/>
      <c r="V185" s="88"/>
      <c r="W185" s="88"/>
      <c r="X185" s="87"/>
      <c r="Y185" s="88"/>
      <c r="Z185" s="91"/>
    </row>
    <row r="186" spans="1:26" x14ac:dyDescent="0.25">
      <c r="A186" s="86"/>
      <c r="B186" s="87"/>
      <c r="C186" s="88"/>
      <c r="D186" s="87"/>
      <c r="E186" s="87"/>
      <c r="F186" s="87"/>
      <c r="G186" s="87"/>
      <c r="H186" s="87"/>
      <c r="I186" s="87"/>
      <c r="J186" s="88"/>
      <c r="K186" s="89"/>
      <c r="L186" s="89"/>
      <c r="M186" s="88"/>
      <c r="N186" s="88"/>
      <c r="O186" s="87"/>
      <c r="P186" s="87"/>
      <c r="Q186" s="87"/>
      <c r="R186" s="88"/>
      <c r="S186" s="88"/>
      <c r="T186" s="88"/>
      <c r="U186" s="87"/>
      <c r="V186" s="88"/>
      <c r="W186" s="88"/>
      <c r="X186" s="87"/>
      <c r="Y186" s="88"/>
      <c r="Z186" s="91"/>
    </row>
  </sheetData>
  <sheetProtection formatCells="0" formatColumns="0" formatRows="0" insertColumns="0" insertRows="0" insertHyperlinks="0" sort="0" autoFilter="0" pivotTables="0"/>
  <dataValidations count="1">
    <dataValidation allowBlank="1" showInputMessage="1" showErrorMessage="1" prompt="Describa cómo debe quedar la línea del PAA." sqref="B17" xr:uid="{8CEDBBDA-6F10-421C-AFA7-71B795EA7B90}"/>
  </dataValidations>
  <hyperlinks>
    <hyperlink ref="Z6" r:id="rId1" xr:uid="{E7E8A480-5D8F-4F57-BBB6-0AD25D693886}"/>
    <hyperlink ref="Z8:Z24" r:id="rId2" display="javiermosquera@reincorporacion.gov.co" xr:uid="{2310C8DB-9DF7-4313-9538-7D924D5E31E6}"/>
    <hyperlink ref="Z16:Z24" r:id="rId3" display="javiermosquera@reincorporacion.gov.co" xr:uid="{0E0A588E-1441-43D0-844F-1B552F30D3DD}"/>
    <hyperlink ref="Z21" r:id="rId4" xr:uid="{88BE5C39-7D9F-4975-A98B-32E6DF6E706D}"/>
    <hyperlink ref="Z60" r:id="rId5" xr:uid="{5DA4F3C7-9147-4316-BDBD-2489C0CBC897}"/>
    <hyperlink ref="Z61" r:id="rId6" xr:uid="{79900AF4-CB1B-4A6E-90DE-18F6FC1ED312}"/>
    <hyperlink ref="Z63" r:id="rId7" xr:uid="{00C2A4CC-4EDE-4D39-87A1-58D6E75A5E1C}"/>
    <hyperlink ref="Z64" r:id="rId8" xr:uid="{6D8E9DCF-7C1C-47A5-919F-9FA34CE7B53B}"/>
    <hyperlink ref="Z65" r:id="rId9" xr:uid="{A1055765-2F9B-44AB-8AF5-CAD6EF780176}"/>
    <hyperlink ref="Z66" r:id="rId10" xr:uid="{0350CAAC-B399-482D-8F87-DECCD7FE71B7}"/>
    <hyperlink ref="Z67" r:id="rId11" xr:uid="{0D748881-4B59-4B42-B972-BE55D8F742FA}"/>
    <hyperlink ref="Z68" r:id="rId12" xr:uid="{2E7A4E40-4445-40F1-8665-6CF7EAF934B8}"/>
    <hyperlink ref="Z69" r:id="rId13" xr:uid="{0829320A-8007-461B-873C-982EAFE03C87}"/>
    <hyperlink ref="Z71" r:id="rId14" xr:uid="{2D0BFB2D-D794-4EAE-AD85-66D893372B86}"/>
    <hyperlink ref="Z72" r:id="rId15" xr:uid="{438F8F64-9E42-46A9-A036-0065479077D4}"/>
    <hyperlink ref="Z79" r:id="rId16" xr:uid="{7F5872C8-B4C3-4EAB-ADA2-1175409BB103}"/>
    <hyperlink ref="Z80" r:id="rId17" xr:uid="{61CB5440-F511-494D-8457-A277E85ECBDE}"/>
    <hyperlink ref="Z81:Z84" r:id="rId18" display="javiermosquera@reincorporacion.gov.co" xr:uid="{9C03D89D-2670-4AFA-A529-78E7A8C0498A}"/>
    <hyperlink ref="Z85" r:id="rId19" xr:uid="{CE2AC8D5-A23A-49D2-822E-23A496322FB7}"/>
    <hyperlink ref="Z86" r:id="rId20" xr:uid="{98BC10B3-D7A4-4231-A16A-C2ED0B4A5AFF}"/>
    <hyperlink ref="Z172" r:id="rId21" xr:uid="{2F7FCA7C-B38E-47E3-9B50-7B1D8C85CE33}"/>
    <hyperlink ref="Z173:Z174" r:id="rId22" display="javiermosquera@reincorporacion.gov.co" xr:uid="{B933021D-354A-451F-8FFF-A714BB82A023}"/>
    <hyperlink ref="Z174" r:id="rId23" xr:uid="{3F53A93E-A73D-4FF3-ABCB-B31D79CB489E}"/>
    <hyperlink ref="Z175" r:id="rId24" xr:uid="{33F2F785-1CC1-4202-B733-89933D6C22FC}"/>
    <hyperlink ref="Z45" r:id="rId25" xr:uid="{980A5067-1089-4F01-A59D-55383704C549}"/>
    <hyperlink ref="Z43" r:id="rId26" xr:uid="{BFA0ECE0-D5FF-41B7-B7FB-FF1F62E4D7A9}"/>
    <hyperlink ref="Z58" r:id="rId27" xr:uid="{B0D931E6-8989-4449-AB0D-3A131843EEE1}"/>
    <hyperlink ref="Z42" r:id="rId28" xr:uid="{840600B8-AB7B-40E4-BDD8-9B73C992BC84}"/>
    <hyperlink ref="Z41" r:id="rId29" xr:uid="{4D25A5D0-A79B-4D20-A0D4-E580443EF022}"/>
    <hyperlink ref="Z44" r:id="rId30" xr:uid="{A528589F-3888-43E0-B9DE-47C2CE6F9CE6}"/>
    <hyperlink ref="Z40" r:id="rId31" xr:uid="{D96163FF-16F3-4259-A5EE-58C7E4CE263A}"/>
    <hyperlink ref="Z37" r:id="rId32" xr:uid="{4FE95E4E-2C31-45C7-AC57-4322C323B08E}"/>
    <hyperlink ref="Z31" r:id="rId33" xr:uid="{B93251E4-F4B3-483D-839D-0A500E51061D}"/>
    <hyperlink ref="Z7" r:id="rId34" xr:uid="{3F421D62-F2E7-4A4F-8EAA-1C11A84CD90A}"/>
    <hyperlink ref="Z78" r:id="rId35" xr:uid="{43841141-B250-48B7-A24C-6976FA02600E}"/>
    <hyperlink ref="Z75" r:id="rId36" xr:uid="{B901061A-4ABF-4216-9ECD-E8A5E541B2D4}"/>
    <hyperlink ref="Z169:Z171" r:id="rId37" display="javiermosquera@reincorporacion.gov.co" xr:uid="{4CFE1BB2-151D-4992-A9A2-B420099CFEB4}"/>
    <hyperlink ref="Z168" r:id="rId38" xr:uid="{180B574C-1135-4784-BFAF-728022E0B90B}"/>
    <hyperlink ref="Z170" r:id="rId39" xr:uid="{922C54DF-C35B-4E46-AF59-C8CE9FF4156A}"/>
    <hyperlink ref="Z96" r:id="rId40" xr:uid="{E49962E0-95D4-41A8-A2ED-2753ABF958F7}"/>
    <hyperlink ref="Z97" r:id="rId41" xr:uid="{B9BDD90A-E7FC-4053-A7DA-1E287B24FD12}"/>
    <hyperlink ref="Z98" r:id="rId42" xr:uid="{566D08E1-4A85-4D91-AED5-43C079311AE6}"/>
    <hyperlink ref="Z99" r:id="rId43" xr:uid="{53B3251F-FDDF-4404-9A8A-EE626D3090CC}"/>
    <hyperlink ref="Z103:Z152" r:id="rId44" display="javiermosquera@reincorporacion.gov.co" xr:uid="{19405CD5-226A-48D0-9107-BFDDE78734CB}"/>
    <hyperlink ref="Z25" r:id="rId45" xr:uid="{DE3A79F3-7725-4702-8646-F44A8D04A447}"/>
    <hyperlink ref="Z29" r:id="rId46" xr:uid="{45C2811C-7040-4A9D-95ED-150EE3F5368E}"/>
    <hyperlink ref="Z74" r:id="rId47" xr:uid="{F1898881-22DE-4A77-B910-6A7732782F89}"/>
    <hyperlink ref="Z10" r:id="rId48" xr:uid="{4462273D-A116-4D4B-8041-12C68B40F743}"/>
    <hyperlink ref="Z15" r:id="rId49" xr:uid="{7A5E71F2-E589-4777-96E7-03A95734F144}"/>
    <hyperlink ref="Z26" r:id="rId50" xr:uid="{76D3A35C-D741-4262-B143-93FFE6411BA3}"/>
    <hyperlink ref="Z30" r:id="rId51" xr:uid="{6B60F8A3-32E0-440E-AF6E-EC0A875649FA}"/>
    <hyperlink ref="Z32" r:id="rId52" xr:uid="{6243AD08-5452-4E27-996F-CFD384599933}"/>
    <hyperlink ref="Z70" r:id="rId53" xr:uid="{A331ACFE-38A9-445F-AE7F-36C18221C129}"/>
    <hyperlink ref="Z87" r:id="rId54" xr:uid="{49EDAEE2-FE11-408E-AD25-772E9733C813}"/>
    <hyperlink ref="Z100" r:id="rId55" xr:uid="{F2D27F7A-AA5A-462B-925F-8C31F168CBED}"/>
    <hyperlink ref="Z103:Z104" r:id="rId56" display="javiermosquera@reincorporacion.gov.co" xr:uid="{DE1991BC-A3F2-414E-B3DC-2BE0A2D23634}"/>
    <hyperlink ref="Z106:Z109" r:id="rId57" display="javiermosquera@reincorporacion.gov.co" xr:uid="{210859E7-2833-46BA-80C0-7F2277BE6867}"/>
    <hyperlink ref="Z107" r:id="rId58" xr:uid="{5F0782D9-8B40-4BA1-9B01-7E1FAC872161}"/>
    <hyperlink ref="Z111:Z120" r:id="rId59" display="javiermosquera@reincorporacion.gov.co" xr:uid="{8766687B-E3CF-40B6-BF68-56F10D946B44}"/>
    <hyperlink ref="Z116" r:id="rId60" xr:uid="{84CCCA67-C342-4CDC-949F-E244841F3D5C}"/>
    <hyperlink ref="Z113" r:id="rId61" xr:uid="{41F7F6E1-7789-41C6-A8AA-658176E41231}"/>
    <hyperlink ref="Z121:Z131" r:id="rId62" display="javiermosquera@reincorporacion.gov.co" xr:uid="{5380F56F-EBB5-41F4-B142-CDF5299058A8}"/>
    <hyperlink ref="Z132:Z141" r:id="rId63" display="javiermosquera@reincorporacion.gov.co" xr:uid="{720EFAC9-778D-49E7-A16E-A457D189061A}"/>
    <hyperlink ref="Z142:Z150" r:id="rId64" display="javiermosquera@reincorporacion.gov.co" xr:uid="{41D1CC6A-AC1E-467A-8048-8EF8C8993F6C}"/>
    <hyperlink ref="Z151" r:id="rId65" xr:uid="{9FCCD7B4-2F5B-4E45-9175-317D39CB2B2C}"/>
    <hyperlink ref="Z160" r:id="rId66" xr:uid="{250C8BA3-CE8C-4C69-A4B8-EF1C39FDB7A3}"/>
    <hyperlink ref="Z157" r:id="rId67" xr:uid="{67FF2DE8-3BA6-4F90-BDFD-A6AFAA2EF7D4}"/>
    <hyperlink ref="Z121" r:id="rId68" xr:uid="{1993789B-96C9-4D1A-B7DC-81188B57AA55}"/>
    <hyperlink ref="Z9" r:id="rId69" xr:uid="{20FF6C13-A027-44FD-94C4-492AE06B3B6B}"/>
    <hyperlink ref="Z20" r:id="rId70" xr:uid="{A5EC0839-DFB0-41ED-8707-BB4329EE94CE}"/>
    <hyperlink ref="Z38" r:id="rId71" xr:uid="{5093088B-4C58-435C-8732-0BF7DD8D8B73}"/>
    <hyperlink ref="Z162" r:id="rId72" xr:uid="{66766473-D545-4E54-A517-2C2F8A0AAF9C}"/>
    <hyperlink ref="Z14" r:id="rId73" xr:uid="{E256E84E-4AAE-4B0F-9B5B-8B1B498C8977}"/>
    <hyperlink ref="Z12" r:id="rId74" xr:uid="{63DBBED2-F287-41CD-BCDC-AD557359E14B}"/>
    <hyperlink ref="Z83" r:id="rId75" xr:uid="{F3A849E6-1FCE-44D2-B93D-CB8E248DB5F6}"/>
    <hyperlink ref="Z103" r:id="rId76" xr:uid="{44A4EC4A-EC16-49D2-A90A-BE9908D484B0}"/>
    <hyperlink ref="Z101" r:id="rId77" xr:uid="{09205672-95C5-43D7-82F1-618D9A7E8682}"/>
    <hyperlink ref="Z105" r:id="rId78" xr:uid="{567D1DB6-93E2-4E27-8216-C719CD321800}"/>
    <hyperlink ref="Z110" r:id="rId79" xr:uid="{CB69417E-4115-4EE9-B29E-FB1BE8B14166}"/>
    <hyperlink ref="Z17" r:id="rId80" xr:uid="{92939A3B-EA7E-4F3C-B254-F6680C6EAF9A}"/>
    <hyperlink ref="Z161" r:id="rId81" xr:uid="{40AAD3AA-D77B-4293-8271-5557DFCB459F}"/>
    <hyperlink ref="Z159" r:id="rId82" xr:uid="{2A79D547-984B-4970-83CA-3F6C0A378DFA}"/>
    <hyperlink ref="Z39" r:id="rId83" xr:uid="{C55C7B5B-7D80-4590-BBAB-A5061FF6B0B8}"/>
  </hyperlinks>
  <pageMargins left="0.70866141732283472" right="0.70866141732283472" top="0.74803149606299213" bottom="0.74803149606299213" header="0.31496062992125984" footer="0.31496062992125984"/>
  <pageSetup scale="39" orientation="landscape" r:id="rId84"/>
  <rowBreaks count="2" manualBreakCount="2">
    <brk id="30" max="51" man="1"/>
    <brk id="60" max="16383" man="1"/>
  </rowBreaks>
  <colBreaks count="2" manualBreakCount="2">
    <brk id="12" max="1048575" man="1"/>
    <brk id="25" max="190" man="1"/>
  </colBreaks>
  <legacyDrawing r:id="rId85"/>
  <tableParts count="1">
    <tablePart r:id="rId86"/>
  </tableParts>
  <extLst>
    <ext xmlns:x14="http://schemas.microsoft.com/office/spreadsheetml/2009/9/main" uri="{CCE6A557-97BC-4b89-ADB6-D9C93CAAB3DF}">
      <x14:dataValidations xmlns:xm="http://schemas.microsoft.com/office/excel/2006/main" count="9">
        <x14:dataValidation type="list" allowBlank="1" showInputMessage="1" showErrorMessage="1" xr:uid="{8B73769D-9E26-4F14-BE15-4D24E7E69AE3}">
          <x14:formula1>
            <xm:f>'Z:\CONTRATACION\ARN\2020\PLAN ANUAL DE CONTRATACION\[Plan de Adquisiciones ARN 2020  VER_2.xlsx]Listas'!#REF!</xm:f>
          </x14:formula1>
          <xm:sqref>A166</xm:sqref>
        </x14:dataValidation>
        <x14:dataValidation type="list" allowBlank="1" showInputMessage="1" showErrorMessage="1" xr:uid="{BDBD52F9-66C7-4151-8559-1A3B7461EFE8}">
          <x14:formula1>
            <xm:f>'[Plan de Adquisiciones ARN 2020  En construccion_7.xlsx]Listas'!#REF!</xm:f>
          </x14:formula1>
          <xm:sqref>A6:A25 A27:A165 A167:A175</xm:sqref>
        </x14:dataValidation>
        <x14:dataValidation type="list" allowBlank="1" showInputMessage="1" showErrorMessage="1" xr:uid="{06FFD67C-E9A5-483C-AB47-26353DB5DBB7}">
          <x14:formula1>
            <xm:f>'Z:\ARN\2019\PLAN DE ADQUISICIONES\Elaboracion PAA\PAA 2020\Necesidades Areas 2020\[Copia de 1 PAA DPR Actualizado a 03012020.xlsx]Listas'!#REF!</xm:f>
          </x14:formula1>
          <xm:sqref>I20</xm:sqref>
        </x14:dataValidation>
        <x14:dataValidation type="list" allowBlank="1" showInputMessage="1" showErrorMessage="1" xr:uid="{27A2ACD5-889D-4681-B838-32D9F2180C61}">
          <x14:formula1>
            <xm:f>'[Plan de Adquisiciones ARN 2020  En construccion_7.xlsx]Listas'!#REF!</xm:f>
          </x14:formula1>
          <xm:sqref>I6:I19 I21:I175</xm:sqref>
        </x14:dataValidation>
        <x14:dataValidation type="list" allowBlank="1" showInputMessage="1" showErrorMessage="1" xr:uid="{D58F6E30-1A75-4528-9C1B-06C206614222}">
          <x14:formula1>
            <xm:f>'[Plan de Adquisiciones ARN 2020  En construccion_7.xlsx]Listas'!#REF!</xm:f>
          </x14:formula1>
          <xm:sqref>T6:T19 T21:T175</xm:sqref>
        </x14:dataValidation>
        <x14:dataValidation type="list" allowBlank="1" showInputMessage="1" showErrorMessage="1" xr:uid="{42B7367E-C9EE-4FBA-837E-2F9A736C81BF}">
          <x14:formula1>
            <xm:f>'C:\Users\leonardovillamil\Documents\ARN\PAA 2019\ELABORACION PAA 2020\Necesidades depencias\[Formulario Necesidades -PAA 2020 Planeacion.xlsx]Listas'!#REF!</xm:f>
          </x14:formula1>
          <xm:sqref>S85:S86</xm:sqref>
        </x14:dataValidation>
        <x14:dataValidation type="list" allowBlank="1" showInputMessage="1" showErrorMessage="1" xr:uid="{620CF446-F17F-49E9-B3B4-EED4F814AE01}">
          <x14:formula1>
            <xm:f>'C:\Users\leonardovillamil\Documents\ARN\PAA 2019\ELABORACION PAA 2020\Necesidades depencias\[Formulario Necesidades -PAA 2020 financiera.xlsb]Listas'!#REF!</xm:f>
          </x14:formula1>
          <xm:sqref>S77</xm:sqref>
        </x14:dataValidation>
        <x14:dataValidation type="list" allowBlank="1" showInputMessage="1" showErrorMessage="1" xr:uid="{2E5FFA3D-2074-483A-B790-D35D0539E0F7}">
          <x14:formula1>
            <xm:f>'C:\Users\carolinacastillo\Documents\DPR 2020\Plan Anual de Adquisiciones 2020\[201119 Consolidado PAA 2020 DPR V1_18112019.xlsx]Listas'!#REF!</xm:f>
          </x14:formula1>
          <xm:sqref>S7:S9 S11:S12</xm:sqref>
        </x14:dataValidation>
        <x14:dataValidation type="list" allowBlank="1" showInputMessage="1" showErrorMessage="1" xr:uid="{0A2CB88B-4E0F-4B29-B732-F50693C16DCF}">
          <x14:formula1>
            <xm:f>'C:\Users\leonardovillamil\AppData\Local\Microsoft\Windows\INetCache\Content.Outlook\HMCHKIQZ\[Formulario Necesidades -PAA 2020 OAC 29-nov-2019 ALCANCE.xlsx]Listas'!#REF!</xm:f>
          </x14:formula1>
          <xm:sqref>S168:S171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68C02C02296C34F818B4D5F69E57A77" ma:contentTypeVersion="1" ma:contentTypeDescription="Crear nuevo documento." ma:contentTypeScope="" ma:versionID="3322a4c3040c90ef179b0484c3af1466">
  <xsd:schema xmlns:xsd="http://www.w3.org/2001/XMLSchema" xmlns:xs="http://www.w3.org/2001/XMLSchema" xmlns:p="http://schemas.microsoft.com/office/2006/metadata/properties" xmlns:ns2="6e2a57a2-9d48-4009-82e5-3fe89fb6c543" xmlns:ns3="http://schemas.microsoft.com/sharepoint/v4" targetNamespace="http://schemas.microsoft.com/office/2006/metadata/properties" ma:root="true" ma:fieldsID="af283248b4a8ba114fc50414f092eb93" ns2:_="" ns3:_="">
    <xsd:import namespace="6e2a57a2-9d48-4009-82e5-3fe89fb6c5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6e2a57a2-9d48-4009-82e5-3fe89fb6c543">3CFCSSYJ6V66-57-127</_dlc_DocId>
    <_dlc_DocIdUrl xmlns="6e2a57a2-9d48-4009-82e5-3fe89fb6c543">
      <Url>https://pruportal.reincorporacion.gov.co/es/agencia/_layouts/15/DocIdRedir.aspx?ID=3CFCSSYJ6V66-57-127</Url>
      <Description>3CFCSSYJ6V66-57-127</Description>
    </_dlc_DocIdUrl>
  </documentManagement>
</p:properties>
</file>

<file path=customXml/itemProps1.xml><?xml version="1.0" encoding="utf-8"?>
<ds:datastoreItem xmlns:ds="http://schemas.openxmlformats.org/officeDocument/2006/customXml" ds:itemID="{48B4DD8F-FACB-4E57-8A86-43FD9D6BDC1C}"/>
</file>

<file path=customXml/itemProps2.xml><?xml version="1.0" encoding="utf-8"?>
<ds:datastoreItem xmlns:ds="http://schemas.openxmlformats.org/officeDocument/2006/customXml" ds:itemID="{1A3B1937-4D9F-4321-9171-A33A1E8FF0FD}"/>
</file>

<file path=customXml/itemProps3.xml><?xml version="1.0" encoding="utf-8"?>
<ds:datastoreItem xmlns:ds="http://schemas.openxmlformats.org/officeDocument/2006/customXml" ds:itemID="{96C9DA46-6BB4-4591-9FB1-D0DC0573BEEC}"/>
</file>

<file path=customXml/itemProps4.xml><?xml version="1.0" encoding="utf-8"?>
<ds:datastoreItem xmlns:ds="http://schemas.openxmlformats.org/officeDocument/2006/customXml" ds:itemID="{F2DC1243-1C19-4EC9-ABF0-A93CFF0320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2020</vt:lpstr>
      <vt:lpstr>'Adquisiciones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Segundo Villamil Huertas</dc:creator>
  <cp:lastModifiedBy>Leonardo Segundo Villamil Huertas</cp:lastModifiedBy>
  <dcterms:created xsi:type="dcterms:W3CDTF">2020-06-26T02:25:26Z</dcterms:created>
  <dcterms:modified xsi:type="dcterms:W3CDTF">2020-06-26T02:34:15Z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0x010100768C02C02296C34F818B4D5F69E57A77</vt:lpwstr>
  </property>
  <property fmtid="{D5CDD505-2E9C-101B-9397-08002B2CF9AE}" pid="3" name="_dlc_DocIdItemGuid">
    <vt:lpwstr>a9e7d3e9-752d-468b-bdd4-945ca0c5a464</vt:lpwstr>
  </property>
</Properties>
</file>